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D:\Desktop_\NOT Jobs\VINCT Project all\Prepare_FS\VD_Excel\"/>
    </mc:Choice>
  </mc:AlternateContent>
  <bookViews>
    <workbookView xWindow="-105" yWindow="-105" windowWidth="19425" windowHeight="10425" tabRatio="958"/>
  </bookViews>
  <sheets>
    <sheet name="THÔNG TIN CHUNG" sheetId="44" r:id="rId1"/>
    <sheet name="Trial balance_2020" sheetId="43" r:id="rId2"/>
    <sheet name="TB_Convert" sheetId="3" r:id="rId3"/>
    <sheet name="MLS" sheetId="5" r:id="rId4"/>
    <sheet name="BC_KQKD" sheetId="8" r:id="rId5"/>
    <sheet name="BC_TinhHinh_TaiChinh" sheetId="7" r:id="rId6"/>
    <sheet name="Thuyet_Minh" sheetId="40" r:id="rId7"/>
    <sheet name="BC_DongTien" sheetId="39" r:id="rId8"/>
    <sheet name="DongTien_Working 2020" sheetId="34" r:id="rId9"/>
  </sheets>
  <externalReferences>
    <externalReference r:id="rId10"/>
    <externalReference r:id="rId11"/>
    <externalReference r:id="rId12"/>
    <externalReference r:id="rId13"/>
    <externalReference r:id="rId14"/>
    <externalReference r:id="rId15"/>
  </externalReferences>
  <definedNames>
    <definedName name="_Fill" localSheetId="8" hidden="1">#REF!</definedName>
    <definedName name="_Fill" localSheetId="6" hidden="1">#REF!</definedName>
    <definedName name="_Fill" hidden="1">#REF!</definedName>
    <definedName name="_xlnm._FilterDatabase" localSheetId="7" hidden="1">BC_DongTien!$A$4:$F$54</definedName>
    <definedName name="_xlnm._FilterDatabase" localSheetId="4" hidden="1">BC_KQKD!$A$6:$H$40</definedName>
    <definedName name="_xlnm._FilterDatabase" localSheetId="5" hidden="1">BC_TinhHinh_TaiChinh!$A$5:$L$149</definedName>
    <definedName name="_xlnm._FilterDatabase" localSheetId="8" hidden="1">'DongTien_Working 2020'!$C$10:$CR$67</definedName>
    <definedName name="_xlnm._FilterDatabase" localSheetId="3" hidden="1">MLS!$A$5:$O$387</definedName>
    <definedName name="_xlnm._FilterDatabase" localSheetId="2" hidden="1">TB_Convert!$A$3:$L$88</definedName>
    <definedName name="_xlnm._FilterDatabase" localSheetId="6" hidden="1">Thuyet_Minh!$A$4:$K$363</definedName>
    <definedName name="_xlnm._FilterDatabase" localSheetId="1" hidden="1">'Trial balance_2020'!$B$10:$E$11</definedName>
    <definedName name="AS2DocOpenMode" hidden="1">"AS2DocumentEdit"</definedName>
    <definedName name="AS2HasNoAutoHeaderFooter" hidden="1">" "</definedName>
    <definedName name="AS2NamedRange" hidden="1">3</definedName>
    <definedName name="AS2ReportLS" hidden="1">1</definedName>
    <definedName name="AS2StaticLS" localSheetId="8" hidden="1">#REF!</definedName>
    <definedName name="AS2StaticLS" localSheetId="6" hidden="1">#REF!</definedName>
    <definedName name="AS2StaticLS" hidden="1">#REF!</definedName>
    <definedName name="AS2SyncStepLS" hidden="1">0</definedName>
    <definedName name="AS2TickmarkLS" localSheetId="8" hidden="1">#REF!</definedName>
    <definedName name="AS2TickmarkLS" localSheetId="6" hidden="1">#REF!</definedName>
    <definedName name="AS2TickmarkLS" hidden="1">#REF!</definedName>
    <definedName name="AS2VersionLS" hidden="1">300</definedName>
    <definedName name="BG_Del" hidden="1">15</definedName>
    <definedName name="BG_Ins" hidden="1">4</definedName>
    <definedName name="BG_Mod" hidden="1">6</definedName>
    <definedName name="List_Company">[1]E!$B$7:$B$46</definedName>
    <definedName name="_xlnm.Print_Area" localSheetId="7">BC_DongTien!$A$1:$F$54</definedName>
    <definedName name="_xlnm.Print_Area" localSheetId="4">BC_KQKD!$A$1:$H$41</definedName>
    <definedName name="_xlnm.Print_Area" localSheetId="5">BC_TinhHinh_TaiChinh!$A$1:$G$149</definedName>
    <definedName name="TextRefCopyRangeCount" hidden="1">2</definedName>
    <definedName name="XREF_COLUMN_1" localSheetId="8" hidden="1">[2]대출채권LS!#REF!</definedName>
    <definedName name="XREF_COLUMN_1" localSheetId="6" hidden="1">[2]대출채권LS!#REF!</definedName>
    <definedName name="XREF_COLUMN_1" hidden="1">[2]대출채권LS!#REF!</definedName>
    <definedName name="XREF_COLUMN_11" hidden="1">[3]표지어음!$J$1:$J$65536</definedName>
    <definedName name="XREF_COLUMN_19" hidden="1">[3]표지어음!$L$1:$L$65536</definedName>
    <definedName name="XREF_COLUMN_2" localSheetId="8" hidden="1">#REF!</definedName>
    <definedName name="XREF_COLUMN_2" localSheetId="6" hidden="1">#REF!</definedName>
    <definedName name="XREF_COLUMN_2" hidden="1">#REF!</definedName>
    <definedName name="XREF_COLUMN_4" localSheetId="8" hidden="1">#REF!</definedName>
    <definedName name="XREF_COLUMN_4" localSheetId="6" hidden="1">#REF!</definedName>
    <definedName name="XREF_COLUMN_4" hidden="1">#REF!</definedName>
    <definedName name="XREF_COLUMN_5" localSheetId="8" hidden="1">#REF!</definedName>
    <definedName name="XREF_COLUMN_5" localSheetId="6" hidden="1">#REF!</definedName>
    <definedName name="XREF_COLUMN_5" hidden="1">#REF!</definedName>
    <definedName name="XREF_COLUMN_6" localSheetId="8" hidden="1">[2]대출채권LS!#REF!</definedName>
    <definedName name="XREF_COLUMN_6" localSheetId="6" hidden="1">[2]대출채권LS!#REF!</definedName>
    <definedName name="XREF_COLUMN_6" hidden="1">[2]대출채권LS!#REF!</definedName>
    <definedName name="XRefActiveRow" hidden="1">[4]XREF!$A$14</definedName>
    <definedName name="XRefColumnsCount" hidden="1">8</definedName>
    <definedName name="XRefCopy1" localSheetId="8" hidden="1">[2]대출채권LS!#REF!</definedName>
    <definedName name="XRefCopy1" localSheetId="6" hidden="1">[2]대출채권LS!#REF!</definedName>
    <definedName name="XRefCopy1" hidden="1">[2]대출채권LS!#REF!</definedName>
    <definedName name="XRefCopy10" localSheetId="8" hidden="1">[2]대출채권LS!#REF!</definedName>
    <definedName name="XRefCopy10" localSheetId="6" hidden="1">[2]대출채권LS!#REF!</definedName>
    <definedName name="XRefCopy10" hidden="1">[2]대출채권LS!#REF!</definedName>
    <definedName name="XRefCopy11" localSheetId="8" hidden="1">[2]대출채권LS!#REF!</definedName>
    <definedName name="XRefCopy11" localSheetId="6" hidden="1">[2]대출채권LS!#REF!</definedName>
    <definedName name="XRefCopy11" hidden="1">[2]대출채권LS!#REF!</definedName>
    <definedName name="XRefCopy11Row" localSheetId="8" hidden="1">[2]XREF!#REF!</definedName>
    <definedName name="XRefCopy11Row" localSheetId="6" hidden="1">[2]XREF!#REF!</definedName>
    <definedName name="XRefCopy11Row" hidden="1">[2]XREF!#REF!</definedName>
    <definedName name="XRefCopy12Row" localSheetId="8" hidden="1">[2]XREF!#REF!</definedName>
    <definedName name="XRefCopy12Row" localSheetId="6" hidden="1">[2]XREF!#REF!</definedName>
    <definedName name="XRefCopy12Row" hidden="1">[2]XREF!#REF!</definedName>
    <definedName name="XRefCopy16" hidden="1">[3]표지어음!$I$575</definedName>
    <definedName name="XRefCopy1Row" hidden="1">[4]XREF!$A$2:$IV$2</definedName>
    <definedName name="XRefCopy2" localSheetId="8" hidden="1">[2]대출채권LS!#REF!</definedName>
    <definedName name="XRefCopy2" localSheetId="6" hidden="1">[2]대출채권LS!#REF!</definedName>
    <definedName name="XRefCopy2" hidden="1">[2]대출채권LS!#REF!</definedName>
    <definedName name="XRefCopy25" hidden="1">[3]표지어음!$K$575</definedName>
    <definedName name="XRefCopy2Row" hidden="1">[4]XREF!$A$4:$IV$4</definedName>
    <definedName name="XRefCopy3" localSheetId="8" hidden="1">[2]대출채권LS!#REF!</definedName>
    <definedName name="XRefCopy3" localSheetId="6" hidden="1">[2]대출채권LS!#REF!</definedName>
    <definedName name="XRefCopy3" hidden="1">[2]대출채권LS!#REF!</definedName>
    <definedName name="XRefCopy3Row" localSheetId="8" hidden="1">[4]XREF!#REF!</definedName>
    <definedName name="XRefCopy3Row" localSheetId="6" hidden="1">[4]XREF!#REF!</definedName>
    <definedName name="XRefCopy3Row" hidden="1">[4]XREF!#REF!</definedName>
    <definedName name="XRefCopy4" localSheetId="8" hidden="1">[2]대출채권LS!#REF!</definedName>
    <definedName name="XRefCopy4" localSheetId="6" hidden="1">[2]대출채권LS!#REF!</definedName>
    <definedName name="XRefCopy4" hidden="1">[2]대출채권LS!#REF!</definedName>
    <definedName name="XRefCopy4Row" hidden="1">[4]XREF!$A$6:$IV$6</definedName>
    <definedName name="XRefCopy5" localSheetId="8" hidden="1">[2]대출채권LS!#REF!</definedName>
    <definedName name="XRefCopy5" localSheetId="6" hidden="1">[2]대출채권LS!#REF!</definedName>
    <definedName name="XRefCopy5" hidden="1">[2]대출채권LS!#REF!</definedName>
    <definedName name="XRefCopy5Row" hidden="1">[4]XREF!$A$8:$IV$8</definedName>
    <definedName name="XRefCopy6" localSheetId="8" hidden="1">[2]대출채권LS!#REF!</definedName>
    <definedName name="XRefCopy6" localSheetId="6" hidden="1">[2]대출채권LS!#REF!</definedName>
    <definedName name="XRefCopy6" hidden="1">[2]대출채권LS!#REF!</definedName>
    <definedName name="XRefCopy6Row" hidden="1">[4]XREF!$A$10:$IV$10</definedName>
    <definedName name="XRefCopy7" localSheetId="8" hidden="1">#REF!</definedName>
    <definedName name="XRefCopy7" localSheetId="6" hidden="1">#REF!</definedName>
    <definedName name="XRefCopy7" hidden="1">#REF!</definedName>
    <definedName name="XRefCopy7Row" hidden="1">[4]XREF!$A$12:$IV$12</definedName>
    <definedName name="XRefCopy8" localSheetId="8" hidden="1">[2]대출채권LS!#REF!</definedName>
    <definedName name="XRefCopy8" localSheetId="6" hidden="1">[2]대출채권LS!#REF!</definedName>
    <definedName name="XRefCopy8" hidden="1">[2]대출채권LS!#REF!</definedName>
    <definedName name="XRefCopy8Row" localSheetId="8" hidden="1">[2]XREF!#REF!</definedName>
    <definedName name="XRefCopy8Row" localSheetId="6" hidden="1">[2]XREF!#REF!</definedName>
    <definedName name="XRefCopy8Row" hidden="1">[2]XREF!#REF!</definedName>
    <definedName name="XRefCopy9" localSheetId="8" hidden="1">#REF!</definedName>
    <definedName name="XRefCopy9" localSheetId="6" hidden="1">#REF!</definedName>
    <definedName name="XRefCopy9" hidden="1">#REF!</definedName>
    <definedName name="XRefCopy9Row" localSheetId="8" hidden="1">[2]XREF!#REF!</definedName>
    <definedName name="XRefCopy9Row" localSheetId="6" hidden="1">[2]XREF!#REF!</definedName>
    <definedName name="XRefCopy9Row" hidden="1">[2]XREF!#REF!</definedName>
    <definedName name="XRefCopyRangeCount" hidden="1">7</definedName>
    <definedName name="XRefPaste1" localSheetId="8" hidden="1">[2]대출채권LS!#REF!</definedName>
    <definedName name="XRefPaste1" localSheetId="6" hidden="1">[2]대출채권LS!#REF!</definedName>
    <definedName name="XRefPaste1" hidden="1">[2]대출채권LS!#REF!</definedName>
    <definedName name="XRefPaste10" localSheetId="8" hidden="1">[2]대출채권LS!#REF!</definedName>
    <definedName name="XRefPaste10" localSheetId="6" hidden="1">[2]대출채권LS!#REF!</definedName>
    <definedName name="XRefPaste10" hidden="1">[2]대출채권LS!#REF!</definedName>
    <definedName name="XRefPaste10Row" localSheetId="8" hidden="1">[2]XREF!#REF!</definedName>
    <definedName name="XRefPaste10Row" localSheetId="6" hidden="1">[2]XREF!#REF!</definedName>
    <definedName name="XRefPaste10Row" hidden="1">[2]XREF!#REF!</definedName>
    <definedName name="XRefPaste11" localSheetId="8" hidden="1">[2]대출채권LS!#REF!</definedName>
    <definedName name="XRefPaste11" localSheetId="6" hidden="1">[2]대출채권LS!#REF!</definedName>
    <definedName name="XRefPaste11" hidden="1">[2]대출채권LS!#REF!</definedName>
    <definedName name="XRefPaste11Row" localSheetId="8" hidden="1">[2]XREF!#REF!</definedName>
    <definedName name="XRefPaste11Row" localSheetId="6" hidden="1">[2]XREF!#REF!</definedName>
    <definedName name="XRefPaste11Row" hidden="1">[2]XREF!#REF!</definedName>
    <definedName name="XRefPaste12" localSheetId="8" hidden="1">[2]대출채권LS!#REF!</definedName>
    <definedName name="XRefPaste12" localSheetId="6" hidden="1">[2]대출채권LS!#REF!</definedName>
    <definedName name="XRefPaste12" hidden="1">[2]대출채권LS!#REF!</definedName>
    <definedName name="XRefPaste12Row" localSheetId="8" hidden="1">[2]XREF!#REF!</definedName>
    <definedName name="XRefPaste12Row" localSheetId="6" hidden="1">[2]XREF!#REF!</definedName>
    <definedName name="XRefPaste12Row" hidden="1">[2]XREF!#REF!</definedName>
    <definedName name="XRefPaste1Row" hidden="1">[4]XREF!$A$3:$IV$3</definedName>
    <definedName name="XRefPaste2" localSheetId="8" hidden="1">[2]대출채권LS!#REF!</definedName>
    <definedName name="XRefPaste2" localSheetId="6" hidden="1">[2]대출채권LS!#REF!</definedName>
    <definedName name="XRefPaste2" hidden="1">[2]대출채권LS!#REF!</definedName>
    <definedName name="XRefPaste2Row" hidden="1">[4]XREF!$A$5:$IV$5</definedName>
    <definedName name="XRefPaste3" hidden="1">[5]LS!$C$8</definedName>
    <definedName name="XRefPaste3Row" localSheetId="8" hidden="1">[4]XREF!#REF!</definedName>
    <definedName name="XRefPaste3Row" localSheetId="6" hidden="1">[4]XREF!#REF!</definedName>
    <definedName name="XRefPaste3Row" hidden="1">[4]XREF!#REF!</definedName>
    <definedName name="XRefPaste4" localSheetId="8" hidden="1">[2]대출채권LS!#REF!</definedName>
    <definedName name="XRefPaste4" localSheetId="6" hidden="1">[2]대출채권LS!#REF!</definedName>
    <definedName name="XRefPaste4" hidden="1">[2]대출채권LS!#REF!</definedName>
    <definedName name="XRefPaste4Row" hidden="1">[4]XREF!$A$7:$IV$7</definedName>
    <definedName name="XRefPaste5" localSheetId="8" hidden="1">[2]대출채권LS!#REF!</definedName>
    <definedName name="XRefPaste5" localSheetId="6" hidden="1">[2]대출채권LS!#REF!</definedName>
    <definedName name="XRefPaste5" hidden="1">[2]대출채권LS!#REF!</definedName>
    <definedName name="XRefPaste5Row" hidden="1">[4]XREF!$A$9:$IV$9</definedName>
    <definedName name="XRefPaste6" localSheetId="8" hidden="1">[2]대출채권LS!#REF!</definedName>
    <definedName name="XRefPaste6" localSheetId="6" hidden="1">[2]대출채권LS!#REF!</definedName>
    <definedName name="XRefPaste6" hidden="1">[2]대출채권LS!#REF!</definedName>
    <definedName name="XRefPaste6Row" hidden="1">[4]XREF!$A$11:$IV$11</definedName>
    <definedName name="XRefPaste7" localSheetId="8" hidden="1">[2]대출채권LS!#REF!</definedName>
    <definedName name="XRefPaste7" localSheetId="6" hidden="1">[2]대출채권LS!#REF!</definedName>
    <definedName name="XRefPaste7" hidden="1">[2]대출채권LS!#REF!</definedName>
    <definedName name="XRefPaste7Row" hidden="1">[4]XREF!$A$13:$IV$13</definedName>
    <definedName name="XRefPaste8" localSheetId="8" hidden="1">[2]대출채권LS!#REF!</definedName>
    <definedName name="XRefPaste8" localSheetId="6" hidden="1">[2]대출채권LS!#REF!</definedName>
    <definedName name="XRefPaste8" hidden="1">[2]대출채권LS!#REF!</definedName>
    <definedName name="XRefPaste8Row" localSheetId="8" hidden="1">[2]XREF!#REF!</definedName>
    <definedName name="XRefPaste8Row" localSheetId="6" hidden="1">[2]XREF!#REF!</definedName>
    <definedName name="XRefPaste8Row" hidden="1">[2]XREF!#REF!</definedName>
    <definedName name="XRefPaste9" localSheetId="8" hidden="1">#REF!</definedName>
    <definedName name="XRefPaste9" localSheetId="6" hidden="1">#REF!</definedName>
    <definedName name="XRefPaste9" hidden="1">#REF!</definedName>
    <definedName name="XRefPaste9Row" localSheetId="8" hidden="1">[2]XREF!#REF!</definedName>
    <definedName name="XRefPaste9Row" localSheetId="6" hidden="1">[2]XREF!#REF!</definedName>
    <definedName name="XRefPaste9Row" hidden="1">[2]XREF!#REF!</definedName>
    <definedName name="XRefPasteRangeCount" hidden="1">7</definedName>
    <definedName name="Z_0796A30C_2FFF_4A21_B2AE_A5991690F213_.wvu.Cols" localSheetId="4" hidden="1">BC_KQKD!$B:$B,BC_KQKD!$E:$E,BC_KQKD!#REF!</definedName>
    <definedName name="Z_0796A30C_2FFF_4A21_B2AE_A5991690F213_.wvu.Cols" localSheetId="5" hidden="1">BC_TinhHinh_TaiChinh!$C:$C,BC_TinhHinh_TaiChinh!$E:$E,BC_TinhHinh_TaiChinh!#REF!</definedName>
    <definedName name="Z_0796A30C_2FFF_4A21_B2AE_A5991690F213_.wvu.Cols" localSheetId="3" hidden="1">MLS!$E:$E,MLS!#REF!</definedName>
    <definedName name="Z_0796A30C_2FFF_4A21_B2AE_A5991690F213_.wvu.FilterData" localSheetId="4" hidden="1">BC_KQKD!$A$6:$H$40</definedName>
    <definedName name="Z_0796A30C_2FFF_4A21_B2AE_A5991690F213_.wvu.FilterData" localSheetId="5" hidden="1">BC_TinhHinh_TaiChinh!$A$5:$L$148</definedName>
    <definedName name="Z_0796A30C_2FFF_4A21_B2AE_A5991690F213_.wvu.FilterData" localSheetId="8" hidden="1">'DongTien_Working 2020'!$C$10:$CR$66</definedName>
    <definedName name="Z_0796A30C_2FFF_4A21_B2AE_A5991690F213_.wvu.FilterData" localSheetId="3" hidden="1">MLS!$A$5:$E$377</definedName>
    <definedName name="Z_0796A30C_2FFF_4A21_B2AE_A5991690F213_.wvu.FilterData" localSheetId="2" hidden="1">TB_Convert!$A$3:$D$4</definedName>
    <definedName name="Z_0796A30C_2FFF_4A21_B2AE_A5991690F213_.wvu.PrintArea" localSheetId="4" hidden="1">BC_KQKD!$A$1:$H$41</definedName>
    <definedName name="Z_0796A30C_2FFF_4A21_B2AE_A5991690F213_.wvu.PrintArea" localSheetId="5" hidden="1">BC_TinhHinh_TaiChinh!$B$1:$H$149</definedName>
    <definedName name="Z_0796A30C_2FFF_4A21_B2AE_A5991690F213_.wvu.PrintArea" localSheetId="8" hidden="1">'DongTien_Working 2020'!$C$1:$CS$68</definedName>
    <definedName name="Z_0796A30C_2FFF_4A21_B2AE_A5991690F213_.wvu.PrintArea" localSheetId="3" hidden="1">MLS!$A$1:$E$388</definedName>
    <definedName name="Z_0796A30C_2FFF_4A21_B2AE_A5991690F213_.wvu.PrintTitles" localSheetId="5" hidden="1">BC_TinhHinh_TaiChinh!$1:$5</definedName>
    <definedName name="Z_0796A30C_2FFF_4A21_B2AE_A5991690F213_.wvu.PrintTitles" localSheetId="3" hidden="1">MLS!$1:$5</definedName>
    <definedName name="Z_2673F5D2_7C6D_4248_BE8D_6D1A7EDBD63E_.wvu.FilterData" localSheetId="4" hidden="1">BC_KQKD!$A$6:$H$40</definedName>
    <definedName name="Z_299D2222_5AB5_49F3_B02F_67A86AB6C76F_.wvu.FilterData" localSheetId="8" hidden="1">'DongTien_Working 2020'!$C$10:$CR$66</definedName>
    <definedName name="Z_431ED707_2363_4119_8E0B_F4208B03A2D2_.wvu.Cols" localSheetId="4" hidden="1">BC_KQKD!$B:$B,BC_KQKD!$E:$E,BC_KQKD!#REF!</definedName>
    <definedName name="Z_431ED707_2363_4119_8E0B_F4208B03A2D2_.wvu.Cols" localSheetId="5" hidden="1">BC_TinhHinh_TaiChinh!$C:$C,BC_TinhHinh_TaiChinh!$E:$E,BC_TinhHinh_TaiChinh!#REF!</definedName>
    <definedName name="Z_431ED707_2363_4119_8E0B_F4208B03A2D2_.wvu.Cols" localSheetId="8" hidden="1">'DongTien_Working 2020'!$D:$D</definedName>
    <definedName name="Z_431ED707_2363_4119_8E0B_F4208B03A2D2_.wvu.Cols" localSheetId="3" hidden="1">MLS!$B:$B,MLS!$E:$E,MLS!#REF!,MLS!#REF!,MLS!#REF!,MLS!#REF!,MLS!#REF!,MLS!#REF!,MLS!#REF!,MLS!#REF!,MLS!#REF!,MLS!#REF!,MLS!#REF!</definedName>
    <definedName name="Z_431ED707_2363_4119_8E0B_F4208B03A2D2_.wvu.Cols" localSheetId="2" hidden="1">TB_Convert!$E:$E</definedName>
    <definedName name="Z_431ED707_2363_4119_8E0B_F4208B03A2D2_.wvu.FilterData" localSheetId="4" hidden="1">BC_KQKD!$A$6:$H$40</definedName>
    <definedName name="Z_431ED707_2363_4119_8E0B_F4208B03A2D2_.wvu.FilterData" localSheetId="5" hidden="1">BC_TinhHinh_TaiChinh!$A$5:$L$148</definedName>
    <definedName name="Z_431ED707_2363_4119_8E0B_F4208B03A2D2_.wvu.FilterData" localSheetId="8" hidden="1">'DongTien_Working 2020'!$C$10:$CR$67</definedName>
    <definedName name="Z_431ED707_2363_4119_8E0B_F4208B03A2D2_.wvu.FilterData" localSheetId="3" hidden="1">MLS!$A$5:$E$389</definedName>
    <definedName name="Z_431ED707_2363_4119_8E0B_F4208B03A2D2_.wvu.FilterData" localSheetId="2" hidden="1">TB_Convert!$A$3:$E$4</definedName>
    <definedName name="Z_431ED707_2363_4119_8E0B_F4208B03A2D2_.wvu.PrintArea" localSheetId="4" hidden="1">BC_KQKD!$A$1:$H$41</definedName>
    <definedName name="Z_431ED707_2363_4119_8E0B_F4208B03A2D2_.wvu.PrintArea" localSheetId="5" hidden="1">BC_TinhHinh_TaiChinh!$B$1:$H$149</definedName>
    <definedName name="Z_431ED707_2363_4119_8E0B_F4208B03A2D2_.wvu.PrintArea" localSheetId="8" hidden="1">'DongTien_Working 2020'!$C$1:$CS$68</definedName>
    <definedName name="Z_431ED707_2363_4119_8E0B_F4208B03A2D2_.wvu.PrintArea" localSheetId="3" hidden="1">MLS!$A$1:$E$388</definedName>
    <definedName name="Z_431ED707_2363_4119_8E0B_F4208B03A2D2_.wvu.PrintTitles" localSheetId="5" hidden="1">BC_TinhHinh_TaiChinh!$1:$5</definedName>
    <definedName name="Z_431ED707_2363_4119_8E0B_F4208B03A2D2_.wvu.PrintTitles" localSheetId="3" hidden="1">MLS!$1:$5</definedName>
    <definedName name="Z_4E825B2D_08AF_434A_8916_FE9D1F47F8D7_.wvu.Cols" localSheetId="4" hidden="1">BC_KQKD!$B:$B,BC_KQKD!$E:$E,BC_KQKD!#REF!</definedName>
    <definedName name="Z_4E825B2D_08AF_434A_8916_FE9D1F47F8D7_.wvu.Cols" localSheetId="5" hidden="1">BC_TinhHinh_TaiChinh!$C:$C,BC_TinhHinh_TaiChinh!$E:$E,BC_TinhHinh_TaiChinh!#REF!</definedName>
    <definedName name="Z_4E825B2D_08AF_434A_8916_FE9D1F47F8D7_.wvu.Cols" localSheetId="8" hidden="1">'DongTien_Working 2020'!$D:$D</definedName>
    <definedName name="Z_4E825B2D_08AF_434A_8916_FE9D1F47F8D7_.wvu.Cols" localSheetId="3" hidden="1">MLS!$B:$C,MLS!$E:$E,MLS!#REF!</definedName>
    <definedName name="Z_4E825B2D_08AF_434A_8916_FE9D1F47F8D7_.wvu.FilterData" localSheetId="4" hidden="1">BC_KQKD!$A$6:$H$40</definedName>
    <definedName name="Z_4E825B2D_08AF_434A_8916_FE9D1F47F8D7_.wvu.FilterData" localSheetId="5" hidden="1">BC_TinhHinh_TaiChinh!$A$5:$L$148</definedName>
    <definedName name="Z_4E825B2D_08AF_434A_8916_FE9D1F47F8D7_.wvu.FilterData" localSheetId="8" hidden="1">'DongTien_Working 2020'!$C$10:$CR$67</definedName>
    <definedName name="Z_4E825B2D_08AF_434A_8916_FE9D1F47F8D7_.wvu.FilterData" localSheetId="3" hidden="1">MLS!$A$5:$E$389</definedName>
    <definedName name="Z_4E825B2D_08AF_434A_8916_FE9D1F47F8D7_.wvu.FilterData" localSheetId="2" hidden="1">TB_Convert!$A$3:$E$4</definedName>
    <definedName name="Z_4E825B2D_08AF_434A_8916_FE9D1F47F8D7_.wvu.PrintArea" localSheetId="4" hidden="1">BC_KQKD!$A$1:$H$41</definedName>
    <definedName name="Z_4E825B2D_08AF_434A_8916_FE9D1F47F8D7_.wvu.PrintArea" localSheetId="5" hidden="1">BC_TinhHinh_TaiChinh!$B$1:$H$149</definedName>
    <definedName name="Z_4E825B2D_08AF_434A_8916_FE9D1F47F8D7_.wvu.PrintArea" localSheetId="8" hidden="1">'DongTien_Working 2020'!$C$1:$CS$68</definedName>
    <definedName name="Z_4E825B2D_08AF_434A_8916_FE9D1F47F8D7_.wvu.PrintArea" localSheetId="3" hidden="1">MLS!$A$1:$E$388</definedName>
    <definedName name="Z_4E825B2D_08AF_434A_8916_FE9D1F47F8D7_.wvu.PrintTitles" localSheetId="5" hidden="1">BC_TinhHinh_TaiChinh!$1:$5</definedName>
    <definedName name="Z_4E825B2D_08AF_434A_8916_FE9D1F47F8D7_.wvu.PrintTitles" localSheetId="3" hidden="1">MLS!$1:$5</definedName>
    <definedName name="Z_7D77170C_09CD_4EEC_BB83_B3AA6C853D06_.wvu.Cols" localSheetId="4" hidden="1">BC_KQKD!$B:$B,BC_KQKD!$E:$E,BC_KQKD!#REF!</definedName>
    <definedName name="Z_7D77170C_09CD_4EEC_BB83_B3AA6C853D06_.wvu.Cols" localSheetId="5" hidden="1">BC_TinhHinh_TaiChinh!$C:$C,BC_TinhHinh_TaiChinh!$E:$E,BC_TinhHinh_TaiChinh!#REF!</definedName>
    <definedName name="Z_7D77170C_09CD_4EEC_BB83_B3AA6C853D06_.wvu.Cols" localSheetId="8" hidden="1">'DongTien_Working 2020'!$D:$D</definedName>
    <definedName name="Z_7D77170C_09CD_4EEC_BB83_B3AA6C853D06_.wvu.Cols" localSheetId="3" hidden="1">MLS!$B:$C,MLS!$E:$E,MLS!#REF!,MLS!#REF!,MLS!#REF!</definedName>
    <definedName name="Z_7D77170C_09CD_4EEC_BB83_B3AA6C853D06_.wvu.Cols" localSheetId="2" hidden="1">TB_Convert!$E:$E</definedName>
    <definedName name="Z_7D77170C_09CD_4EEC_BB83_B3AA6C853D06_.wvu.FilterData" localSheetId="4" hidden="1">BC_KQKD!$A$6:$H$40</definedName>
    <definedName name="Z_7D77170C_09CD_4EEC_BB83_B3AA6C853D06_.wvu.FilterData" localSheetId="5" hidden="1">BC_TinhHinh_TaiChinh!$A$5:$L$148</definedName>
    <definedName name="Z_7D77170C_09CD_4EEC_BB83_B3AA6C853D06_.wvu.FilterData" localSheetId="8" hidden="1">'DongTien_Working 2020'!$C$10:$CR$67</definedName>
    <definedName name="Z_7D77170C_09CD_4EEC_BB83_B3AA6C853D06_.wvu.FilterData" localSheetId="3" hidden="1">MLS!$A$5:$E$389</definedName>
    <definedName name="Z_7D77170C_09CD_4EEC_BB83_B3AA6C853D06_.wvu.FilterData" localSheetId="2" hidden="1">TB_Convert!$A$3:$E$4</definedName>
    <definedName name="Z_7D77170C_09CD_4EEC_BB83_B3AA6C853D06_.wvu.PrintArea" localSheetId="4" hidden="1">BC_KQKD!$A$1:$H$41</definedName>
    <definedName name="Z_7D77170C_09CD_4EEC_BB83_B3AA6C853D06_.wvu.PrintArea" localSheetId="5" hidden="1">BC_TinhHinh_TaiChinh!$B$1:$H$149</definedName>
    <definedName name="Z_7D77170C_09CD_4EEC_BB83_B3AA6C853D06_.wvu.PrintArea" localSheetId="8" hidden="1">'DongTien_Working 2020'!$C$1:$CS$68</definedName>
    <definedName name="Z_7D77170C_09CD_4EEC_BB83_B3AA6C853D06_.wvu.PrintArea" localSheetId="3" hidden="1">MLS!$A$1:$E$388</definedName>
    <definedName name="Z_7D77170C_09CD_4EEC_BB83_B3AA6C853D06_.wvu.PrintTitles" localSheetId="5" hidden="1">BC_TinhHinh_TaiChinh!$1:$5</definedName>
    <definedName name="Z_7D77170C_09CD_4EEC_BB83_B3AA6C853D06_.wvu.PrintTitles" localSheetId="3" hidden="1">MLS!$1:$5</definedName>
    <definedName name="Z_9CD74708_203A_4ABC_83B6_3F67085BADB4_.wvu.FilterData" localSheetId="8" hidden="1">'DongTien_Working 2020'!$C$10:$CR$67</definedName>
    <definedName name="Z_A3D7BE5A_A938_4021_A801_1DAF67AB037C_.wvu.Cols" localSheetId="4" hidden="1">BC_KQKD!$B:$B,BC_KQKD!$E:$E,BC_KQKD!#REF!</definedName>
    <definedName name="Z_A3D7BE5A_A938_4021_A801_1DAF67AB037C_.wvu.Cols" localSheetId="5" hidden="1">BC_TinhHinh_TaiChinh!$C:$C,BC_TinhHinh_TaiChinh!$E:$E,BC_TinhHinh_TaiChinh!#REF!</definedName>
    <definedName name="Z_A3D7BE5A_A938_4021_A801_1DAF67AB037C_.wvu.Cols" localSheetId="8" hidden="1">'DongTien_Working 2020'!$D:$D</definedName>
    <definedName name="Z_A3D7BE5A_A938_4021_A801_1DAF67AB037C_.wvu.Cols" localSheetId="3" hidden="1">MLS!$B:$C,MLS!$E:$E,MLS!#REF!</definedName>
    <definedName name="Z_A3D7BE5A_A938_4021_A801_1DAF67AB037C_.wvu.Cols" localSheetId="2" hidden="1">TB_Convert!$E:$E</definedName>
    <definedName name="Z_A3D7BE5A_A938_4021_A801_1DAF67AB037C_.wvu.FilterData" localSheetId="4" hidden="1">BC_KQKD!$A$6:$H$40</definedName>
    <definedName name="Z_A3D7BE5A_A938_4021_A801_1DAF67AB037C_.wvu.FilterData" localSheetId="5" hidden="1">BC_TinhHinh_TaiChinh!$A$5:$L$148</definedName>
    <definedName name="Z_A3D7BE5A_A938_4021_A801_1DAF67AB037C_.wvu.FilterData" localSheetId="8" hidden="1">'DongTien_Working 2020'!$C$10:$CR$67</definedName>
    <definedName name="Z_A3D7BE5A_A938_4021_A801_1DAF67AB037C_.wvu.FilterData" localSheetId="3" hidden="1">MLS!$A$5:$E$389</definedName>
    <definedName name="Z_A3D7BE5A_A938_4021_A801_1DAF67AB037C_.wvu.FilterData" localSheetId="2" hidden="1">TB_Convert!$A$3:$E$4</definedName>
    <definedName name="Z_A3D7BE5A_A938_4021_A801_1DAF67AB037C_.wvu.PrintArea" localSheetId="4" hidden="1">BC_KQKD!$A$1:$H$41</definedName>
    <definedName name="Z_A3D7BE5A_A938_4021_A801_1DAF67AB037C_.wvu.PrintArea" localSheetId="5" hidden="1">BC_TinhHinh_TaiChinh!$B$1:$H$149</definedName>
    <definedName name="Z_A3D7BE5A_A938_4021_A801_1DAF67AB037C_.wvu.PrintArea" localSheetId="8" hidden="1">'DongTien_Working 2020'!$C$1:$CS$68</definedName>
    <definedName name="Z_A3D7BE5A_A938_4021_A801_1DAF67AB037C_.wvu.PrintArea" localSheetId="3" hidden="1">MLS!$A$1:$E$388</definedName>
    <definedName name="Z_A3D7BE5A_A938_4021_A801_1DAF67AB037C_.wvu.PrintTitles" localSheetId="5" hidden="1">BC_TinhHinh_TaiChinh!$1:$5</definedName>
    <definedName name="Z_A3D7BE5A_A938_4021_A801_1DAF67AB037C_.wvu.PrintTitles" localSheetId="3" hidden="1">MLS!$1:$5</definedName>
    <definedName name="Z_A802F8BE_E184_4275_8F47_F417811C9A4E_.wvu.Cols" localSheetId="4" hidden="1">BC_KQKD!$B:$B,BC_KQKD!$E:$E,BC_KQKD!#REF!</definedName>
    <definedName name="Z_A802F8BE_E184_4275_8F47_F417811C9A4E_.wvu.Cols" localSheetId="5" hidden="1">BC_TinhHinh_TaiChinh!$C:$C,BC_TinhHinh_TaiChinh!$E:$E,BC_TinhHinh_TaiChinh!#REF!</definedName>
    <definedName name="Z_A802F8BE_E184_4275_8F47_F417811C9A4E_.wvu.Cols" localSheetId="8" hidden="1">'DongTien_Working 2020'!$L:$M,'DongTien_Working 2020'!$Y:$AE,'DongTien_Working 2020'!$AH:$AN,'DongTien_Working 2020'!$AP:$AQ,'DongTien_Working 2020'!$AS:$AT,'DongTien_Working 2020'!$AW:$AY</definedName>
    <definedName name="Z_A802F8BE_E184_4275_8F47_F417811C9A4E_.wvu.Cols" localSheetId="3" hidden="1">MLS!$E:$E,MLS!#REF!</definedName>
    <definedName name="Z_A802F8BE_E184_4275_8F47_F417811C9A4E_.wvu.FilterData" localSheetId="4" hidden="1">BC_KQKD!$A$6:$H$40</definedName>
    <definedName name="Z_A802F8BE_E184_4275_8F47_F417811C9A4E_.wvu.FilterData" localSheetId="5" hidden="1">BC_TinhHinh_TaiChinh!$A$5:$L$148</definedName>
    <definedName name="Z_A802F8BE_E184_4275_8F47_F417811C9A4E_.wvu.FilterData" localSheetId="8" hidden="1">'DongTien_Working 2020'!$C$10:$CR$67</definedName>
    <definedName name="Z_A802F8BE_E184_4275_8F47_F417811C9A4E_.wvu.FilterData" localSheetId="3" hidden="1">MLS!$A$5:$E$377</definedName>
    <definedName name="Z_A802F8BE_E184_4275_8F47_F417811C9A4E_.wvu.FilterData" localSheetId="2" hidden="1">TB_Convert!$A$3:$D$4</definedName>
    <definedName name="Z_A802F8BE_E184_4275_8F47_F417811C9A4E_.wvu.PrintArea" localSheetId="4" hidden="1">BC_KQKD!$A$1:$H$41</definedName>
    <definedName name="Z_A802F8BE_E184_4275_8F47_F417811C9A4E_.wvu.PrintArea" localSheetId="5" hidden="1">BC_TinhHinh_TaiChinh!$B$1:$H$149</definedName>
    <definedName name="Z_A802F8BE_E184_4275_8F47_F417811C9A4E_.wvu.PrintArea" localSheetId="8" hidden="1">'DongTien_Working 2020'!$C$1:$CS$68</definedName>
    <definedName name="Z_A802F8BE_E184_4275_8F47_F417811C9A4E_.wvu.PrintArea" localSheetId="3" hidden="1">MLS!$A$1:$E$388</definedName>
    <definedName name="Z_A802F8BE_E184_4275_8F47_F417811C9A4E_.wvu.PrintTitles" localSheetId="5" hidden="1">BC_TinhHinh_TaiChinh!$1:$5</definedName>
    <definedName name="Z_A802F8BE_E184_4275_8F47_F417811C9A4E_.wvu.PrintTitles" localSheetId="3" hidden="1">MLS!$1:$5</definedName>
    <definedName name="Z_A9DDD711_DE8E_49F1_B058_93F1CA1EE215_.wvu.FilterData" localSheetId="2" hidden="1">TB_Convert!$A$3:$E$4</definedName>
    <definedName name="Z_F6B385F9_BDE6_48F0_8A8A_3BB9D358E692_.wvu.FilterData" localSheetId="5" hidden="1">BC_TinhHinh_TaiChinh!$A$5:$L$148</definedName>
    <definedName name="Z_F81E167E_20CF_40FA_9BC9_60BA0E660408_.wvu.FilterData" localSheetId="8" hidden="1">'DongTien_Working 2020'!$C$10:$CR$67</definedName>
    <definedName name="ㅂㅈㄷ" localSheetId="8" hidden="1">[4]XREF!#REF!</definedName>
    <definedName name="ㅂㅈㄷ" localSheetId="6" hidden="1">[4]XREF!#REF!</definedName>
    <definedName name="ㅂㅈㄷ" hidden="1">[4]XREF!#REF!</definedName>
  </definedNames>
  <calcPr calcId="162913"/>
  <customWorkbookViews>
    <customWorkbookView name="Ky, Nam Thi - Personal View" guid="{7D77170C-09CD-4EEC-BB83-B3AA6C853D06}" mergeInterval="0" personalView="1" maximized="1" xWindow="-8" yWindow="-8" windowWidth="1382" windowHeight="744" tabRatio="792" activeSheetId="9"/>
    <customWorkbookView name="Le, Ngoc Vy - Personal View" guid="{A802F8BE-E184-4275-8F47-F417811C9A4E}" mergeInterval="0" personalView="1" maximized="1" xWindow="-8" yWindow="-8" windowWidth="1382" windowHeight="744" activeSheetId="5"/>
    <customWorkbookView name="Ton, That Khanh Hoang - Personal View" guid="{0796A30C-2FFF-4A21-B2AE-A5991690F213}" mergeInterval="0" personalView="1" maximized="1" xWindow="-8" yWindow="-8" windowWidth="1382" windowHeight="744" activeSheetId="13"/>
    <customWorkbookView name="Cao, Duong Kim - Personal View" guid="{4E825B2D-08AF-434A-8916-FE9D1F47F8D7}" mergeInterval="0" personalView="1" maximized="1" xWindow="-8" yWindow="-8" windowWidth="1382" windowHeight="744" tabRatio="792" activeSheetId="5"/>
    <customWorkbookView name="Pham, Thi Phuong Linh - Personal View" guid="{A3D7BE5A-A938-4021-A801-1DAF67AB037C}" mergeInterval="0" personalView="1" maximized="1" xWindow="-8" yWindow="-8" windowWidth="1382" windowHeight="744" tabRatio="792" activeSheetId="3"/>
    <customWorkbookView name="Nguyen, Minh Nhat - Personal View" guid="{431ED707-2363-4119-8E0B-F4208B03A2D2}" mergeInterval="0" personalView="1" maximized="1" xWindow="-8" yWindow="-8" windowWidth="1382" windowHeight="74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 i="34" l="1"/>
  <c r="O5" i="34"/>
  <c r="C16" i="44"/>
  <c r="C14" i="44"/>
  <c r="C11" i="44"/>
  <c r="A3" i="44"/>
  <c r="A4" i="44" s="1"/>
  <c r="A7" i="44" s="1"/>
  <c r="A8" i="44" s="1"/>
  <c r="A9" i="44" s="1"/>
  <c r="A10" i="44" s="1"/>
  <c r="A11" i="44" s="1"/>
  <c r="A12" i="44" s="1"/>
  <c r="A13" i="44" s="1"/>
  <c r="A14" i="44" s="1"/>
  <c r="A15" i="44" s="1"/>
  <c r="A16" i="44" s="1"/>
  <c r="AL39" i="34" l="1"/>
  <c r="BE31" i="34"/>
  <c r="F20" i="34"/>
  <c r="D178" i="40" l="1"/>
  <c r="D179" i="40" s="1"/>
  <c r="C178" i="40"/>
  <c r="C179" i="40" s="1"/>
  <c r="H173" i="40"/>
  <c r="G173" i="40"/>
  <c r="A172" i="40"/>
  <c r="A174" i="40" s="1"/>
  <c r="A175" i="40" s="1"/>
  <c r="A176" i="40" s="1"/>
  <c r="A177" i="40" s="1"/>
  <c r="A178" i="40" s="1"/>
  <c r="A179" i="40" s="1"/>
  <c r="A180" i="40" s="1"/>
  <c r="C180" i="40" l="1"/>
  <c r="F225" i="40"/>
  <c r="BC32" i="34" s="1"/>
  <c r="N375" i="5"/>
  <c r="N374" i="5"/>
  <c r="M11" i="3"/>
  <c r="L11" i="3"/>
  <c r="H11" i="3"/>
  <c r="C342" i="40"/>
  <c r="M50" i="3"/>
  <c r="A50" i="3"/>
  <c r="L50" i="3"/>
  <c r="C341" i="40"/>
  <c r="B32" i="34" l="1"/>
  <c r="AZ67" i="34"/>
  <c r="A16" i="34"/>
  <c r="CP6" i="34"/>
  <c r="CO6" i="34"/>
  <c r="CN6" i="34"/>
  <c r="CM6" i="34"/>
  <c r="CK6" i="34"/>
  <c r="CJ6" i="34"/>
  <c r="CI6" i="34"/>
  <c r="CH6" i="34"/>
  <c r="CG6" i="34"/>
  <c r="CF6" i="34"/>
  <c r="CD6" i="34"/>
  <c r="CA6" i="34"/>
  <c r="BZ6" i="34"/>
  <c r="BY6" i="34"/>
  <c r="BX6" i="34"/>
  <c r="BW6" i="34"/>
  <c r="BS6" i="34"/>
  <c r="BR6" i="34"/>
  <c r="BQ6" i="34"/>
  <c r="BP6" i="34"/>
  <c r="BO6" i="34"/>
  <c r="BN6" i="34"/>
  <c r="BM6" i="34"/>
  <c r="BL6" i="34"/>
  <c r="BK6" i="34"/>
  <c r="BG6" i="34"/>
  <c r="BF6" i="34"/>
  <c r="BD6" i="34"/>
  <c r="CP7" i="34"/>
  <c r="CO7" i="34"/>
  <c r="CN7" i="34"/>
  <c r="CM7" i="34"/>
  <c r="CK7" i="34"/>
  <c r="CJ7" i="34"/>
  <c r="CI7" i="34"/>
  <c r="CH7" i="34"/>
  <c r="CG7" i="34"/>
  <c r="CF7" i="34"/>
  <c r="CD7" i="34"/>
  <c r="CA7" i="34"/>
  <c r="BZ7" i="34"/>
  <c r="BY7" i="34"/>
  <c r="BX7" i="34"/>
  <c r="BW7" i="34"/>
  <c r="BS7" i="34"/>
  <c r="BR7" i="34"/>
  <c r="BQ7" i="34"/>
  <c r="BP7" i="34"/>
  <c r="BO7" i="34"/>
  <c r="BN7" i="34"/>
  <c r="BM7" i="34"/>
  <c r="BL7" i="34"/>
  <c r="BK7" i="34"/>
  <c r="BG7" i="34"/>
  <c r="BF7" i="34"/>
  <c r="BD7" i="34"/>
  <c r="I7" i="34"/>
  <c r="H7" i="34"/>
  <c r="G7" i="34"/>
  <c r="I6" i="34"/>
  <c r="H6" i="34"/>
  <c r="G6" i="34"/>
  <c r="D3" i="34"/>
  <c r="F4" i="39" l="1"/>
  <c r="E4" i="39"/>
  <c r="A301" i="40"/>
  <c r="A295" i="40"/>
  <c r="A284" i="40"/>
  <c r="A274" i="40"/>
  <c r="B267" i="40"/>
  <c r="G257" i="40"/>
  <c r="F256" i="40"/>
  <c r="D256" i="40"/>
  <c r="A253" i="40"/>
  <c r="A53" i="3"/>
  <c r="A210" i="40"/>
  <c r="A211" i="40"/>
  <c r="A212" i="40" s="1"/>
  <c r="A213" i="40" s="1"/>
  <c r="A214" i="40" s="1"/>
  <c r="G203" i="40"/>
  <c r="D189" i="40"/>
  <c r="D187" i="40"/>
  <c r="C185" i="40"/>
  <c r="C187" i="40" s="1"/>
  <c r="F199" i="40" s="1"/>
  <c r="F201" i="40" s="1"/>
  <c r="F165" i="40"/>
  <c r="E154" i="40"/>
  <c r="G154" i="40" s="1"/>
  <c r="C188" i="40" s="1"/>
  <c r="E153" i="40"/>
  <c r="G153" i="40" s="1"/>
  <c r="H150" i="40"/>
  <c r="G150" i="40"/>
  <c r="C155" i="40"/>
  <c r="C156" i="40" s="1"/>
  <c r="F155" i="40"/>
  <c r="F156" i="40" s="1"/>
  <c r="D155" i="40"/>
  <c r="D156" i="40" s="1"/>
  <c r="A149" i="40"/>
  <c r="A151" i="40" s="1"/>
  <c r="A152" i="40" s="1"/>
  <c r="A153" i="40" s="1"/>
  <c r="A154" i="40" s="1"/>
  <c r="A155" i="40" s="1"/>
  <c r="A156" i="40" s="1"/>
  <c r="A157" i="40" s="1"/>
  <c r="A134" i="40"/>
  <c r="A135" i="40" s="1"/>
  <c r="A136" i="40" s="1"/>
  <c r="A137" i="40" s="1"/>
  <c r="A141" i="40" s="1"/>
  <c r="A220" i="40"/>
  <c r="E128" i="40"/>
  <c r="E130" i="40" s="1"/>
  <c r="D126" i="40"/>
  <c r="C126" i="40"/>
  <c r="F125" i="40"/>
  <c r="F116" i="40"/>
  <c r="F126" i="40" s="1"/>
  <c r="E116" i="40"/>
  <c r="E126" i="40" s="1"/>
  <c r="F115" i="40"/>
  <c r="F118" i="40"/>
  <c r="F119" i="40" s="1"/>
  <c r="E119" i="40"/>
  <c r="A111" i="40"/>
  <c r="A115" i="40" s="1"/>
  <c r="A117" i="40" s="1"/>
  <c r="A118" i="40" s="1"/>
  <c r="A119" i="40" s="1"/>
  <c r="A33" i="40"/>
  <c r="A34" i="40" s="1"/>
  <c r="A35" i="40" s="1"/>
  <c r="A36" i="40" s="1"/>
  <c r="A37" i="40" s="1"/>
  <c r="D37" i="40"/>
  <c r="D38" i="40" s="1"/>
  <c r="D35" i="40"/>
  <c r="D117" i="40" s="1"/>
  <c r="E117" i="40" s="1"/>
  <c r="C35" i="40"/>
  <c r="C117" i="40" s="1"/>
  <c r="C127" i="40" s="1"/>
  <c r="A87" i="40"/>
  <c r="A88" i="40" s="1"/>
  <c r="A89" i="40" s="1"/>
  <c r="A90" i="40" s="1"/>
  <c r="A91" i="40" s="1"/>
  <c r="A92" i="40" s="1"/>
  <c r="A93" i="40" s="1"/>
  <c r="A94" i="40" s="1"/>
  <c r="A95" i="40" s="1"/>
  <c r="A96" i="40" s="1"/>
  <c r="C9" i="40"/>
  <c r="M35" i="3"/>
  <c r="M10" i="3"/>
  <c r="L10" i="3"/>
  <c r="H10" i="3"/>
  <c r="M9" i="3"/>
  <c r="L9" i="3"/>
  <c r="H9" i="3"/>
  <c r="M72" i="3"/>
  <c r="M44" i="3"/>
  <c r="M43" i="3"/>
  <c r="L8" i="3"/>
  <c r="H8" i="3"/>
  <c r="H44" i="3"/>
  <c r="H43" i="3"/>
  <c r="M41" i="3"/>
  <c r="M42" i="3"/>
  <c r="A42" i="3"/>
  <c r="A44" i="3" s="1"/>
  <c r="A41" i="3"/>
  <c r="A43" i="3" s="1"/>
  <c r="M31" i="3"/>
  <c r="A31" i="3"/>
  <c r="L31" i="3"/>
  <c r="A51" i="40"/>
  <c r="A47" i="40"/>
  <c r="A43" i="40"/>
  <c r="A22" i="40"/>
  <c r="A14" i="40"/>
  <c r="A3" i="40"/>
  <c r="F203" i="40" l="1"/>
  <c r="F177" i="40"/>
  <c r="N217" i="5"/>
  <c r="A215" i="40"/>
  <c r="A216" i="40" s="1"/>
  <c r="A217" i="40"/>
  <c r="F205" i="40"/>
  <c r="D190" i="40"/>
  <c r="G199" i="40"/>
  <c r="G201" i="40" s="1"/>
  <c r="G205" i="40" s="1"/>
  <c r="E163" i="40"/>
  <c r="E165" i="40" s="1"/>
  <c r="H154" i="40"/>
  <c r="C189" i="40" s="1"/>
  <c r="J154" i="40"/>
  <c r="G155" i="40"/>
  <c r="G156" i="40" s="1"/>
  <c r="H153" i="40"/>
  <c r="E155" i="40"/>
  <c r="E156" i="40" s="1"/>
  <c r="J153" i="40"/>
  <c r="E127" i="40"/>
  <c r="F117" i="40"/>
  <c r="F127" i="40" s="1"/>
  <c r="D127" i="40"/>
  <c r="A144" i="40"/>
  <c r="A142" i="40"/>
  <c r="A143" i="40" s="1"/>
  <c r="F128" i="40"/>
  <c r="E131" i="40"/>
  <c r="E120" i="40"/>
  <c r="F120" i="40"/>
  <c r="A122" i="40"/>
  <c r="A120" i="40"/>
  <c r="A121" i="40" s="1"/>
  <c r="A125" i="40" s="1"/>
  <c r="A127" i="40" s="1"/>
  <c r="A128" i="40" s="1"/>
  <c r="A130" i="40" s="1"/>
  <c r="A131" i="40" s="1"/>
  <c r="A132" i="40" s="1"/>
  <c r="A40" i="40"/>
  <c r="A38" i="40"/>
  <c r="A39" i="40" s="1"/>
  <c r="A230" i="40"/>
  <c r="A231" i="40" s="1"/>
  <c r="A232" i="40" s="1"/>
  <c r="A233" i="40" s="1"/>
  <c r="A234" i="40" s="1"/>
  <c r="A235" i="40" s="1"/>
  <c r="A236" i="40" s="1"/>
  <c r="A237" i="40" s="1"/>
  <c r="F236" i="40"/>
  <c r="E236" i="40"/>
  <c r="E237" i="40" s="1"/>
  <c r="D236" i="40"/>
  <c r="D237" i="40" s="1"/>
  <c r="G235" i="40"/>
  <c r="I235" i="40" s="1"/>
  <c r="G234" i="40"/>
  <c r="G62" i="40"/>
  <c r="G56" i="40"/>
  <c r="F178" i="40" l="1"/>
  <c r="F179" i="40" s="1"/>
  <c r="G177" i="40"/>
  <c r="H155" i="40"/>
  <c r="H156" i="40" s="1"/>
  <c r="J155" i="40"/>
  <c r="G236" i="40"/>
  <c r="G237" i="40" s="1"/>
  <c r="F130" i="40"/>
  <c r="F131" i="40" s="1"/>
  <c r="I234" i="40"/>
  <c r="F237" i="40"/>
  <c r="H177" i="40" l="1"/>
  <c r="J177" i="40"/>
  <c r="I236" i="40"/>
  <c r="H55" i="40" l="1"/>
  <c r="C277" i="40" l="1"/>
  <c r="C285" i="40" s="1"/>
  <c r="C29" i="40"/>
  <c r="C18" i="40"/>
  <c r="C16" i="40"/>
  <c r="C136" i="40" s="1"/>
  <c r="C212" i="40" s="1"/>
  <c r="C4" i="40"/>
  <c r="C15" i="40" s="1"/>
  <c r="C135" i="40" s="1"/>
  <c r="C211" i="40" s="1"/>
  <c r="C23" i="40" l="1"/>
  <c r="C302" i="40"/>
  <c r="C314" i="40" s="1"/>
  <c r="C325" i="40" s="1"/>
  <c r="C333" i="40" s="1"/>
  <c r="C296" i="40"/>
  <c r="C19" i="40"/>
  <c r="C30" i="40"/>
  <c r="F21" i="8"/>
  <c r="F18" i="8"/>
  <c r="F40" i="8"/>
  <c r="F39" i="8"/>
  <c r="F37" i="8"/>
  <c r="F36" i="8"/>
  <c r="F147" i="7"/>
  <c r="F143" i="7"/>
  <c r="N205" i="5"/>
  <c r="F93" i="7" s="1"/>
  <c r="BB7" i="34" s="1"/>
  <c r="N204" i="5"/>
  <c r="F92" i="7" s="1"/>
  <c r="N259" i="5"/>
  <c r="N288" i="5"/>
  <c r="F133" i="7" s="1"/>
  <c r="N287" i="5"/>
  <c r="F132" i="7" s="1"/>
  <c r="N286" i="5"/>
  <c r="F131" i="7" s="1"/>
  <c r="CE7" i="34" s="1"/>
  <c r="N285" i="5"/>
  <c r="F130" i="7" s="1"/>
  <c r="N284" i="5"/>
  <c r="F129" i="7" s="1"/>
  <c r="N370" i="5"/>
  <c r="N361" i="5"/>
  <c r="N360" i="5"/>
  <c r="N359" i="5"/>
  <c r="N358" i="5"/>
  <c r="N357" i="5"/>
  <c r="N356" i="5"/>
  <c r="N354" i="5"/>
  <c r="N353" i="5"/>
  <c r="N352" i="5"/>
  <c r="N351" i="5"/>
  <c r="N350" i="5"/>
  <c r="N349" i="5"/>
  <c r="N348" i="5"/>
  <c r="N344" i="5"/>
  <c r="N343" i="5"/>
  <c r="N342" i="5"/>
  <c r="N337" i="5"/>
  <c r="N336" i="5"/>
  <c r="N335" i="5"/>
  <c r="N334" i="5"/>
  <c r="N333" i="5"/>
  <c r="N329" i="5"/>
  <c r="N328" i="5"/>
  <c r="N326" i="5"/>
  <c r="N325" i="5"/>
  <c r="N322" i="5"/>
  <c r="N321" i="5"/>
  <c r="N320" i="5"/>
  <c r="N318" i="5"/>
  <c r="N317" i="5"/>
  <c r="N316" i="5"/>
  <c r="N314" i="5"/>
  <c r="N313" i="5"/>
  <c r="N312" i="5"/>
  <c r="N311" i="5"/>
  <c r="N305" i="5"/>
  <c r="N304" i="5"/>
  <c r="N303" i="5"/>
  <c r="N297" i="5"/>
  <c r="N296" i="5"/>
  <c r="N290" i="5"/>
  <c r="N289" i="5"/>
  <c r="N282" i="5"/>
  <c r="F128" i="7" s="1"/>
  <c r="N281" i="5"/>
  <c r="F127" i="7" s="1"/>
  <c r="N280" i="5"/>
  <c r="N276" i="5"/>
  <c r="N275" i="5"/>
  <c r="N273" i="5"/>
  <c r="N272" i="5"/>
  <c r="N271" i="5"/>
  <c r="N270" i="5"/>
  <c r="N265" i="5"/>
  <c r="N264" i="5"/>
  <c r="N263" i="5"/>
  <c r="N262" i="5"/>
  <c r="N261" i="5"/>
  <c r="N258" i="5"/>
  <c r="N257" i="5"/>
  <c r="N256" i="5"/>
  <c r="N253" i="5"/>
  <c r="N252" i="5"/>
  <c r="N251" i="5"/>
  <c r="N246" i="5"/>
  <c r="N241" i="5"/>
  <c r="N240" i="5"/>
  <c r="N239" i="5"/>
  <c r="N238" i="5"/>
  <c r="N236" i="5"/>
  <c r="N235" i="5"/>
  <c r="N234" i="5"/>
  <c r="N233" i="5"/>
  <c r="N231" i="5"/>
  <c r="N230" i="5"/>
  <c r="N229" i="5"/>
  <c r="N227" i="5"/>
  <c r="N226" i="5"/>
  <c r="N225" i="5"/>
  <c r="N224" i="5"/>
  <c r="N220" i="5"/>
  <c r="N219" i="5"/>
  <c r="N218" i="5"/>
  <c r="N214" i="5"/>
  <c r="N213" i="5"/>
  <c r="N212" i="5"/>
  <c r="N211" i="5"/>
  <c r="N210" i="5"/>
  <c r="N209" i="5"/>
  <c r="N208" i="5"/>
  <c r="N207" i="5"/>
  <c r="N206" i="5"/>
  <c r="N203" i="5"/>
  <c r="N202" i="5"/>
  <c r="N198" i="5"/>
  <c r="F82" i="7" s="1"/>
  <c r="AY7" i="34" s="1"/>
  <c r="N197" i="5"/>
  <c r="F81" i="7" s="1"/>
  <c r="AX7" i="34" s="1"/>
  <c r="N196" i="5"/>
  <c r="F80" i="7" s="1"/>
  <c r="AW7" i="34" s="1"/>
  <c r="N195" i="5"/>
  <c r="F79" i="7" s="1"/>
  <c r="AV7" i="34" s="1"/>
  <c r="N194" i="5"/>
  <c r="F78" i="7" s="1"/>
  <c r="AU7" i="34" s="1"/>
  <c r="N191" i="5"/>
  <c r="N190" i="5"/>
  <c r="N189" i="5"/>
  <c r="N182" i="5"/>
  <c r="N181" i="5"/>
  <c r="N180" i="5"/>
  <c r="N178" i="5"/>
  <c r="N177" i="5"/>
  <c r="N176" i="5"/>
  <c r="N175" i="5"/>
  <c r="N174" i="5"/>
  <c r="N170" i="5"/>
  <c r="N169" i="5"/>
  <c r="N168" i="5"/>
  <c r="N163" i="5"/>
  <c r="N159" i="5"/>
  <c r="N155" i="5"/>
  <c r="N154" i="5"/>
  <c r="N152" i="5"/>
  <c r="N151" i="5"/>
  <c r="N150" i="5"/>
  <c r="N149" i="5"/>
  <c r="N147" i="5"/>
  <c r="N146" i="5"/>
  <c r="N144" i="5"/>
  <c r="N143" i="5"/>
  <c r="N142" i="5"/>
  <c r="N141" i="5"/>
  <c r="N138" i="5"/>
  <c r="N137" i="5"/>
  <c r="N136" i="5"/>
  <c r="N135" i="5"/>
  <c r="N134" i="5"/>
  <c r="N132" i="5"/>
  <c r="N131" i="5"/>
  <c r="N130" i="5"/>
  <c r="N129" i="5"/>
  <c r="N128" i="5"/>
  <c r="N125" i="5"/>
  <c r="N124" i="5"/>
  <c r="N122" i="5"/>
  <c r="N121" i="5"/>
  <c r="N118" i="5"/>
  <c r="N117" i="5"/>
  <c r="N115" i="5"/>
  <c r="N114" i="5"/>
  <c r="N113" i="5"/>
  <c r="N109" i="5"/>
  <c r="N108" i="5"/>
  <c r="N107" i="5"/>
  <c r="N106" i="5"/>
  <c r="N104" i="5"/>
  <c r="N101" i="5"/>
  <c r="N100" i="5"/>
  <c r="N99" i="5"/>
  <c r="N95" i="5"/>
  <c r="N94" i="5"/>
  <c r="N88" i="5"/>
  <c r="N87" i="5"/>
  <c r="N86" i="5"/>
  <c r="N85" i="5"/>
  <c r="N84" i="5"/>
  <c r="N83" i="5"/>
  <c r="N82" i="5"/>
  <c r="N81" i="5"/>
  <c r="N77" i="5"/>
  <c r="N70" i="5"/>
  <c r="N69" i="5"/>
  <c r="N68" i="5"/>
  <c r="N66" i="5"/>
  <c r="N65" i="5"/>
  <c r="N63" i="5"/>
  <c r="N62" i="5"/>
  <c r="N61" i="5"/>
  <c r="N60" i="5"/>
  <c r="N58" i="5"/>
  <c r="N57" i="5"/>
  <c r="N56" i="5"/>
  <c r="N55" i="5"/>
  <c r="N47" i="5"/>
  <c r="N46" i="5"/>
  <c r="N45" i="5"/>
  <c r="N44" i="5"/>
  <c r="N42" i="5"/>
  <c r="N38" i="5"/>
  <c r="N37" i="5"/>
  <c r="N36" i="5"/>
  <c r="N31" i="5"/>
  <c r="N30" i="5"/>
  <c r="N29" i="5"/>
  <c r="N26" i="5"/>
  <c r="N25" i="5"/>
  <c r="N24" i="5"/>
  <c r="N21" i="5"/>
  <c r="N20" i="5"/>
  <c r="N17" i="5"/>
  <c r="N16" i="5"/>
  <c r="N14" i="5"/>
  <c r="N13" i="5"/>
  <c r="N10" i="5"/>
  <c r="N9" i="5"/>
  <c r="L14" i="3"/>
  <c r="L79" i="3"/>
  <c r="M79" i="3" s="1"/>
  <c r="L61" i="3"/>
  <c r="M61" i="3" s="1"/>
  <c r="BA7" i="34" l="1"/>
  <c r="C10" i="44"/>
  <c r="C118" i="40"/>
  <c r="D118" i="40" s="1"/>
  <c r="D128" i="40" s="1"/>
  <c r="D130" i="40" s="1"/>
  <c r="C34" i="40"/>
  <c r="C115" i="40" s="1"/>
  <c r="F15" i="7"/>
  <c r="F101" i="7"/>
  <c r="F112" i="7"/>
  <c r="F134" i="7"/>
  <c r="F145" i="7"/>
  <c r="F17" i="7"/>
  <c r="F56" i="7"/>
  <c r="AH7" i="34" s="1"/>
  <c r="F19" i="8"/>
  <c r="F46" i="7"/>
  <c r="AB7" i="34" s="1"/>
  <c r="F68" i="7"/>
  <c r="F102" i="7"/>
  <c r="F103" i="7"/>
  <c r="F114" i="7"/>
  <c r="BU7" i="34" s="1"/>
  <c r="F119" i="7"/>
  <c r="F120" i="7"/>
  <c r="F97" i="7"/>
  <c r="F57" i="7"/>
  <c r="AI7" i="34" s="1"/>
  <c r="F94" i="7"/>
  <c r="BC7" i="34" s="1"/>
  <c r="F12" i="7"/>
  <c r="F22" i="7"/>
  <c r="L7" i="34" s="1"/>
  <c r="F67" i="7"/>
  <c r="AN7" i="34" s="1"/>
  <c r="F75" i="7"/>
  <c r="AT7" i="34" s="1"/>
  <c r="F115" i="7"/>
  <c r="F10" i="8"/>
  <c r="F100" i="7"/>
  <c r="BI7" i="34" s="1"/>
  <c r="AO7" i="34" l="1"/>
  <c r="C9" i="44"/>
  <c r="BV7" i="34"/>
  <c r="H157" i="40"/>
  <c r="BJ7" i="34"/>
  <c r="C128" i="40"/>
  <c r="C213" i="40"/>
  <c r="C214" i="40" s="1"/>
  <c r="C216" i="40" s="1"/>
  <c r="D115" i="40"/>
  <c r="C125" i="40"/>
  <c r="D131" i="40"/>
  <c r="C93" i="40"/>
  <c r="C103" i="40" s="1"/>
  <c r="C105" i="40" s="1"/>
  <c r="L88" i="3"/>
  <c r="M88" i="3" s="1"/>
  <c r="N367" i="5" s="1"/>
  <c r="L87" i="3"/>
  <c r="M87" i="3" s="1"/>
  <c r="L86" i="3"/>
  <c r="L85" i="3"/>
  <c r="M85" i="3" s="1"/>
  <c r="N369" i="5" s="1"/>
  <c r="F26" i="8" s="1"/>
  <c r="L84" i="3"/>
  <c r="M84" i="3" s="1"/>
  <c r="L83" i="3"/>
  <c r="M83" i="3" s="1"/>
  <c r="L82" i="3"/>
  <c r="M82" i="3" s="1"/>
  <c r="N363" i="5" s="1"/>
  <c r="L81" i="3"/>
  <c r="M81" i="3" s="1"/>
  <c r="L80" i="3"/>
  <c r="M80" i="3" s="1"/>
  <c r="L78" i="3"/>
  <c r="M78" i="3" s="1"/>
  <c r="L76" i="3"/>
  <c r="M76" i="3" s="1"/>
  <c r="N345" i="5" s="1"/>
  <c r="L75" i="3"/>
  <c r="M75" i="3" s="1"/>
  <c r="L74" i="3"/>
  <c r="M74" i="3" s="1"/>
  <c r="L73" i="3"/>
  <c r="M73" i="3" s="1"/>
  <c r="L72" i="3"/>
  <c r="N340" i="5" s="1"/>
  <c r="F17" i="8" s="1"/>
  <c r="B19" i="34" s="1"/>
  <c r="L71" i="3"/>
  <c r="M71" i="3" s="1"/>
  <c r="N338" i="5" s="1"/>
  <c r="F15" i="8" s="1"/>
  <c r="B45" i="34" s="1"/>
  <c r="L70" i="3"/>
  <c r="M70" i="3" s="1"/>
  <c r="L69" i="3"/>
  <c r="M69" i="3" s="1"/>
  <c r="L68" i="3"/>
  <c r="M68" i="3" s="1"/>
  <c r="L67" i="3"/>
  <c r="M67" i="3" s="1"/>
  <c r="L66" i="3"/>
  <c r="M66" i="3" s="1"/>
  <c r="E176" i="40" s="1"/>
  <c r="L65" i="3"/>
  <c r="M65" i="3" s="1"/>
  <c r="L64" i="3"/>
  <c r="M64" i="3" s="1"/>
  <c r="L63" i="3"/>
  <c r="M63" i="3" s="1"/>
  <c r="L62" i="3"/>
  <c r="M62" i="3" s="1"/>
  <c r="L60" i="3"/>
  <c r="M60" i="3" s="1"/>
  <c r="N315" i="5" s="1"/>
  <c r="F8" i="8" s="1"/>
  <c r="L59" i="3"/>
  <c r="L58" i="3"/>
  <c r="L57" i="3"/>
  <c r="L56" i="3"/>
  <c r="N56" i="3" s="1"/>
  <c r="L55" i="3"/>
  <c r="L54" i="3"/>
  <c r="L53" i="3"/>
  <c r="L52" i="3"/>
  <c r="L51" i="3"/>
  <c r="L49" i="3"/>
  <c r="L48" i="3"/>
  <c r="L47" i="3"/>
  <c r="L46" i="3"/>
  <c r="L37" i="3"/>
  <c r="M37" i="3" s="1"/>
  <c r="N80" i="5" s="1"/>
  <c r="F36" i="7" s="1"/>
  <c r="V7" i="34" s="1"/>
  <c r="L36" i="3"/>
  <c r="L35" i="3"/>
  <c r="L34" i="3"/>
  <c r="L33" i="3"/>
  <c r="L32" i="3"/>
  <c r="L30" i="3"/>
  <c r="M30" i="3" s="1"/>
  <c r="L29" i="3"/>
  <c r="M29" i="3" s="1"/>
  <c r="L28" i="3"/>
  <c r="M28" i="3" s="1"/>
  <c r="N165" i="5" s="1"/>
  <c r="L27" i="3"/>
  <c r="M27" i="3" s="1"/>
  <c r="N160" i="5" s="1"/>
  <c r="L26" i="3"/>
  <c r="M26" i="3" s="1"/>
  <c r="N161" i="5" s="1"/>
  <c r="L25" i="3"/>
  <c r="M25" i="3" s="1"/>
  <c r="N153" i="5" s="1"/>
  <c r="F60" i="7" s="1"/>
  <c r="AK7" i="34" s="1"/>
  <c r="L24" i="3"/>
  <c r="M24" i="3" s="1"/>
  <c r="N145" i="5" s="1"/>
  <c r="F59" i="7" s="1"/>
  <c r="AJ7" i="34" s="1"/>
  <c r="L23" i="3"/>
  <c r="M23" i="3" s="1"/>
  <c r="N123" i="5" s="1"/>
  <c r="L22" i="3"/>
  <c r="M22" i="3" s="1"/>
  <c r="N120" i="5" s="1"/>
  <c r="L21" i="3"/>
  <c r="M21" i="3" s="1"/>
  <c r="N116" i="5" s="1"/>
  <c r="F53" i="7" s="1"/>
  <c r="AF7" i="34" s="1"/>
  <c r="L20" i="3"/>
  <c r="L19" i="3"/>
  <c r="L18" i="3"/>
  <c r="L17" i="3"/>
  <c r="L16" i="3"/>
  <c r="M16" i="3" s="1"/>
  <c r="N43" i="5" s="1"/>
  <c r="F25" i="7" s="1"/>
  <c r="O7" i="34" s="1"/>
  <c r="L15" i="3"/>
  <c r="M15" i="3" s="1"/>
  <c r="N105" i="5" s="1"/>
  <c r="F48" i="7" s="1"/>
  <c r="L13" i="3"/>
  <c r="L12" i="3"/>
  <c r="L7" i="3"/>
  <c r="L6" i="3"/>
  <c r="M6" i="3" s="1"/>
  <c r="L5" i="3"/>
  <c r="M5" i="3" s="1"/>
  <c r="L4" i="3"/>
  <c r="M4" i="3" s="1"/>
  <c r="K76" i="43"/>
  <c r="K75" i="43"/>
  <c r="K74" i="43"/>
  <c r="K73" i="43"/>
  <c r="L77" i="3" s="1"/>
  <c r="M77" i="3" s="1"/>
  <c r="N362" i="5" s="1"/>
  <c r="F20" i="8" s="1"/>
  <c r="C307" i="40" s="1"/>
  <c r="C309" i="40" s="1"/>
  <c r="C310" i="40" s="1"/>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F32" i="8"/>
  <c r="F31" i="8"/>
  <c r="N307" i="5"/>
  <c r="F146" i="7" s="1"/>
  <c r="N301" i="5"/>
  <c r="F142" i="7" s="1"/>
  <c r="N300" i="5"/>
  <c r="F141" i="7" s="1"/>
  <c r="N294" i="5"/>
  <c r="F137" i="7" s="1"/>
  <c r="N293" i="5"/>
  <c r="F136" i="7" s="1"/>
  <c r="N292" i="5"/>
  <c r="F135" i="7" s="1"/>
  <c r="N269" i="5"/>
  <c r="F118" i="7" s="1"/>
  <c r="N268" i="5"/>
  <c r="F117" i="7" s="1"/>
  <c r="N267" i="5"/>
  <c r="F116" i="7" s="1"/>
  <c r="N255" i="5"/>
  <c r="F113" i="7" s="1"/>
  <c r="BT7" i="34" s="1"/>
  <c r="N250" i="5"/>
  <c r="F111" i="7" s="1"/>
  <c r="N249" i="5"/>
  <c r="F110" i="7" s="1"/>
  <c r="N248" i="5"/>
  <c r="F109" i="7" s="1"/>
  <c r="N247" i="5"/>
  <c r="F108" i="7" s="1"/>
  <c r="N244" i="5"/>
  <c r="F105" i="7" s="1"/>
  <c r="N243" i="5"/>
  <c r="F104" i="7" s="1"/>
  <c r="N223" i="5"/>
  <c r="F99" i="7" s="1"/>
  <c r="BH7" i="34" s="1"/>
  <c r="N222" i="5"/>
  <c r="F98" i="7" s="1"/>
  <c r="F96" i="7"/>
  <c r="N216" i="5"/>
  <c r="F95" i="7" s="1"/>
  <c r="N188" i="5"/>
  <c r="F74" i="7" s="1"/>
  <c r="AS7" i="34" s="1"/>
  <c r="N187" i="5"/>
  <c r="F73" i="7" s="1"/>
  <c r="AR7" i="34" s="1"/>
  <c r="N186" i="5"/>
  <c r="F72" i="7" s="1"/>
  <c r="AQ7" i="34" s="1"/>
  <c r="N185" i="5"/>
  <c r="F71" i="7" s="1"/>
  <c r="AP7" i="34" s="1"/>
  <c r="N111" i="5"/>
  <c r="F49" i="7" s="1"/>
  <c r="AE7" i="34" s="1"/>
  <c r="N103" i="5"/>
  <c r="F47" i="7" s="1"/>
  <c r="AC7" i="34" s="1"/>
  <c r="N98" i="5"/>
  <c r="F45" i="7" s="1"/>
  <c r="AA7" i="34" s="1"/>
  <c r="N97" i="5"/>
  <c r="F44" i="7" s="1"/>
  <c r="Z7" i="34" s="1"/>
  <c r="N96" i="5"/>
  <c r="F43" i="7" s="1"/>
  <c r="Y7" i="34" s="1"/>
  <c r="N91" i="5"/>
  <c r="F38" i="7" s="1"/>
  <c r="X7" i="34" s="1"/>
  <c r="N90" i="5"/>
  <c r="F37" i="7" s="1"/>
  <c r="W7" i="34" s="1"/>
  <c r="N79" i="5"/>
  <c r="F35" i="7" s="1"/>
  <c r="U7" i="34" s="1"/>
  <c r="N78" i="5"/>
  <c r="F34" i="7" s="1"/>
  <c r="T7" i="34" s="1"/>
  <c r="N75" i="5"/>
  <c r="F31" i="7" s="1"/>
  <c r="S7" i="34" s="1"/>
  <c r="N73" i="5"/>
  <c r="N72" i="5"/>
  <c r="N54" i="5"/>
  <c r="N53" i="5"/>
  <c r="N50" i="5"/>
  <c r="F27" i="7" s="1"/>
  <c r="Q7" i="34" s="1"/>
  <c r="N49" i="5"/>
  <c r="F26" i="7" s="1"/>
  <c r="P7" i="34" s="1"/>
  <c r="N41" i="5"/>
  <c r="F24" i="7" s="1"/>
  <c r="N7" i="34" s="1"/>
  <c r="N40" i="5"/>
  <c r="F23" i="7" s="1"/>
  <c r="M7" i="34" s="1"/>
  <c r="N35" i="5"/>
  <c r="F21" i="7" s="1"/>
  <c r="K7" i="34" s="1"/>
  <c r="N34" i="5"/>
  <c r="F20" i="7" s="1"/>
  <c r="J7" i="34" s="1"/>
  <c r="N28" i="5"/>
  <c r="F16" i="7" s="1"/>
  <c r="AD7" i="34" l="1"/>
  <c r="C8" i="44"/>
  <c r="BE7" i="34"/>
  <c r="C137" i="40"/>
  <c r="E178" i="40"/>
  <c r="E179" i="40" s="1"/>
  <c r="G176" i="40"/>
  <c r="C8" i="40"/>
  <c r="C10" i="40" s="1"/>
  <c r="C329" i="40"/>
  <c r="E225" i="40"/>
  <c r="C130" i="40"/>
  <c r="C131" i="40" s="1"/>
  <c r="BA39" i="34"/>
  <c r="C298" i="40"/>
  <c r="B31" i="34" s="1"/>
  <c r="CL19" i="34"/>
  <c r="CL18" i="34"/>
  <c r="CL45" i="34" s="1"/>
  <c r="B18" i="34"/>
  <c r="C31" i="40"/>
  <c r="H236" i="40"/>
  <c r="C215" i="40"/>
  <c r="D125" i="40"/>
  <c r="C36" i="40"/>
  <c r="C37" i="40" s="1"/>
  <c r="C38" i="40" s="1"/>
  <c r="E95" i="40"/>
  <c r="N164" i="5"/>
  <c r="N12" i="5"/>
  <c r="N15" i="5" s="1"/>
  <c r="F54" i="7"/>
  <c r="AG7" i="34" s="1"/>
  <c r="N8" i="5"/>
  <c r="M2" i="3"/>
  <c r="F64" i="7"/>
  <c r="AM7" i="34" s="1"/>
  <c r="C282" i="40"/>
  <c r="N366" i="5"/>
  <c r="F25" i="8" s="1"/>
  <c r="F63" i="7"/>
  <c r="AL7" i="34" s="1"/>
  <c r="N327" i="5"/>
  <c r="F13" i="8" s="1"/>
  <c r="C288" i="40" s="1"/>
  <c r="N341" i="5"/>
  <c r="N346" i="5" s="1"/>
  <c r="F16" i="8" s="1"/>
  <c r="C15" i="44" s="1"/>
  <c r="C20" i="40"/>
  <c r="F30" i="7"/>
  <c r="R7" i="34" s="1"/>
  <c r="N323" i="5"/>
  <c r="N339" i="5"/>
  <c r="N371" i="5"/>
  <c r="L2" i="3"/>
  <c r="N355" i="5"/>
  <c r="N364" i="5"/>
  <c r="N291" i="5"/>
  <c r="N22" i="5"/>
  <c r="N283" i="5"/>
  <c r="F126" i="7" s="1"/>
  <c r="CC7" i="34" s="1"/>
  <c r="N18" i="5"/>
  <c r="N199" i="5"/>
  <c r="F77" i="7" s="1"/>
  <c r="J77" i="7" s="1"/>
  <c r="N254" i="5"/>
  <c r="N260" i="5"/>
  <c r="N274" i="5"/>
  <c r="N277" i="5"/>
  <c r="N306" i="5"/>
  <c r="N308" i="5" s="1"/>
  <c r="F144" i="7" s="1"/>
  <c r="J144" i="7" s="1"/>
  <c r="N39" i="5"/>
  <c r="N139" i="5"/>
  <c r="N148" i="5"/>
  <c r="N179" i="5"/>
  <c r="N192" i="5"/>
  <c r="N193" i="5" s="1"/>
  <c r="F70" i="7" s="1"/>
  <c r="J70" i="7" s="1"/>
  <c r="N171" i="5"/>
  <c r="N183" i="5"/>
  <c r="N11" i="5"/>
  <c r="N32" i="5"/>
  <c r="N266" i="5"/>
  <c r="N27" i="5"/>
  <c r="N221" i="5"/>
  <c r="N237" i="5"/>
  <c r="N242" i="5"/>
  <c r="N89" i="5"/>
  <c r="N92" i="5" s="1"/>
  <c r="F33" i="7" s="1"/>
  <c r="J33" i="7" s="1"/>
  <c r="N126" i="5"/>
  <c r="N71" i="5"/>
  <c r="N48" i="5"/>
  <c r="N59" i="5"/>
  <c r="N64" i="5"/>
  <c r="N67" i="5"/>
  <c r="N102" i="5"/>
  <c r="N110" i="5"/>
  <c r="N112" i="5" s="1"/>
  <c r="F42" i="7" s="1"/>
  <c r="J42" i="7" s="1"/>
  <c r="N119" i="5"/>
  <c r="N133" i="5"/>
  <c r="N140" i="5" s="1"/>
  <c r="F55" i="7" s="1"/>
  <c r="J55" i="7" s="1"/>
  <c r="N156" i="5"/>
  <c r="N162" i="5"/>
  <c r="N166" i="5"/>
  <c r="N215" i="5"/>
  <c r="N228" i="5"/>
  <c r="N232" i="5"/>
  <c r="N319" i="5"/>
  <c r="BE39" i="34" l="1"/>
  <c r="C13" i="44"/>
  <c r="H176" i="40"/>
  <c r="H178" i="40" s="1"/>
  <c r="G178" i="40"/>
  <c r="G225" i="40"/>
  <c r="I225" i="40" s="1"/>
  <c r="BC13" i="34"/>
  <c r="N324" i="5"/>
  <c r="F12" i="8" s="1"/>
  <c r="J12" i="8" s="1"/>
  <c r="C299" i="40"/>
  <c r="C141" i="40"/>
  <c r="C142" i="40" s="1"/>
  <c r="F19" i="34"/>
  <c r="A19" i="34" s="1"/>
  <c r="CL31" i="34"/>
  <c r="C319" i="40"/>
  <c r="C291" i="40"/>
  <c r="C292" i="40" s="1"/>
  <c r="C317" i="40"/>
  <c r="J126" i="7"/>
  <c r="C119" i="40"/>
  <c r="C121" i="40" s="1"/>
  <c r="C39" i="40"/>
  <c r="F11" i="7"/>
  <c r="N331" i="5"/>
  <c r="F14" i="8" s="1"/>
  <c r="J14" i="8" s="1"/>
  <c r="N368" i="5"/>
  <c r="N372" i="5" s="1"/>
  <c r="F28" i="8" s="1"/>
  <c r="J28" i="8" s="1"/>
  <c r="N330" i="5"/>
  <c r="I59" i="40"/>
  <c r="N157" i="5"/>
  <c r="F58" i="7" s="1"/>
  <c r="J58" i="7" s="1"/>
  <c r="N184" i="5"/>
  <c r="F66" i="7" s="1"/>
  <c r="J66" i="7" s="1"/>
  <c r="N51" i="5"/>
  <c r="F19" i="7" s="1"/>
  <c r="J19" i="7" s="1"/>
  <c r="N33" i="5"/>
  <c r="F14" i="7" s="1"/>
  <c r="J14" i="7" s="1"/>
  <c r="N245" i="5"/>
  <c r="F91" i="7" s="1"/>
  <c r="J91" i="7" s="1"/>
  <c r="N278" i="5"/>
  <c r="F107" i="7" s="1"/>
  <c r="J107" i="7" s="1"/>
  <c r="N167" i="5"/>
  <c r="N173" i="5" s="1"/>
  <c r="F62" i="7" s="1"/>
  <c r="N19" i="5"/>
  <c r="N23" i="5" s="1"/>
  <c r="F10" i="7" s="1"/>
  <c r="F7" i="34" s="1"/>
  <c r="N74" i="5"/>
  <c r="N76" i="5" s="1"/>
  <c r="F29" i="7" s="1"/>
  <c r="J29" i="7" s="1"/>
  <c r="N127" i="5"/>
  <c r="F52" i="7" s="1"/>
  <c r="J52" i="7" s="1"/>
  <c r="N172" i="5"/>
  <c r="C293" i="40" l="1"/>
  <c r="G179" i="40"/>
  <c r="J178" i="40"/>
  <c r="H179" i="40"/>
  <c r="H180" i="40"/>
  <c r="N332" i="5"/>
  <c r="C143" i="40"/>
  <c r="C318" i="40"/>
  <c r="C320" i="40" s="1"/>
  <c r="C321" i="40" s="1"/>
  <c r="C311" i="40"/>
  <c r="D121" i="40"/>
  <c r="D132" i="40" s="1"/>
  <c r="C132" i="40"/>
  <c r="C120" i="40"/>
  <c r="N365" i="5"/>
  <c r="N373" i="5" s="1"/>
  <c r="J62" i="7"/>
  <c r="C11" i="40"/>
  <c r="C12" i="40"/>
  <c r="F22" i="8"/>
  <c r="J10" i="7"/>
  <c r="N158" i="5"/>
  <c r="N279" i="5"/>
  <c r="F89" i="7" s="1"/>
  <c r="N93" i="5"/>
  <c r="F8" i="7" s="1"/>
  <c r="N376" i="5" l="1"/>
  <c r="F30" i="8"/>
  <c r="N200" i="5"/>
  <c r="F40" i="7" s="1"/>
  <c r="F51" i="7"/>
  <c r="J51" i="7" s="1"/>
  <c r="J22" i="8"/>
  <c r="J89" i="7"/>
  <c r="J8" i="7"/>
  <c r="C336" i="40" l="1"/>
  <c r="C339" i="40" s="1"/>
  <c r="C344" i="40" s="1"/>
  <c r="C345" i="40" s="1"/>
  <c r="B13" i="34"/>
  <c r="J40" i="7"/>
  <c r="N201" i="5"/>
  <c r="F84" i="7" s="1"/>
  <c r="J84" i="7" s="1"/>
  <c r="J30" i="8"/>
  <c r="N298" i="5"/>
  <c r="F33" i="8"/>
  <c r="J33" i="8" l="1"/>
  <c r="J6" i="8" s="1"/>
  <c r="F248" i="40"/>
  <c r="CL13" i="34" s="1"/>
  <c r="N387" i="5"/>
  <c r="F140" i="7"/>
  <c r="A285" i="40" l="1"/>
  <c r="A286" i="40" s="1"/>
  <c r="A287" i="40" s="1"/>
  <c r="A288" i="40" s="1"/>
  <c r="A289" i="40" s="1"/>
  <c r="A290" i="40" s="1"/>
  <c r="A291" i="40" s="1"/>
  <c r="A292" i="40" s="1"/>
  <c r="A293" i="40" s="1"/>
  <c r="A294" i="40" s="1"/>
  <c r="A296" i="40"/>
  <c r="A297" i="40" s="1"/>
  <c r="A298" i="40" s="1"/>
  <c r="A299" i="40" s="1"/>
  <c r="A348" i="40"/>
  <c r="A349" i="40" s="1"/>
  <c r="A350" i="40" s="1"/>
  <c r="A351" i="40" s="1"/>
  <c r="A352" i="40" s="1"/>
  <c r="A353" i="40" s="1"/>
  <c r="A354" i="40" s="1"/>
  <c r="A355" i="40" s="1"/>
  <c r="A356" i="40" s="1"/>
  <c r="A357" i="40" s="1"/>
  <c r="A358" i="40" s="1"/>
  <c r="A359" i="40" s="1"/>
  <c r="A360" i="40" s="1"/>
  <c r="A361" i="40" s="1"/>
  <c r="A362" i="40" s="1"/>
  <c r="A363" i="40" s="1"/>
  <c r="A324" i="40"/>
  <c r="A325" i="40" l="1"/>
  <c r="A326" i="40" s="1"/>
  <c r="A327" i="40" s="1"/>
  <c r="A328" i="40" s="1"/>
  <c r="A329" i="40" s="1"/>
  <c r="A330" i="40" s="1"/>
  <c r="A331" i="40" s="1"/>
  <c r="A332" i="40" s="1"/>
  <c r="A333" i="40" s="1"/>
  <c r="A334" i="40" s="1"/>
  <c r="A335" i="40" s="1"/>
  <c r="A336" i="40" s="1"/>
  <c r="A337" i="40" s="1"/>
  <c r="A338" i="40" s="1"/>
  <c r="A339" i="40" s="1"/>
  <c r="A340" i="40" s="1"/>
  <c r="A341" i="40" s="1"/>
  <c r="A342" i="40" s="1"/>
  <c r="A343" i="40" s="1"/>
  <c r="A344" i="40" s="1"/>
  <c r="A345" i="40" s="1"/>
  <c r="A314" i="40"/>
  <c r="A315" i="40" s="1"/>
  <c r="A316" i="40" s="1"/>
  <c r="A317" i="40" s="1"/>
  <c r="A318" i="40" s="1"/>
  <c r="A319" i="40" s="1"/>
  <c r="A320" i="40" s="1"/>
  <c r="A321" i="40" s="1"/>
  <c r="A322" i="40" s="1"/>
  <c r="A302" i="40"/>
  <c r="A303" i="40" s="1"/>
  <c r="A305" i="40" l="1"/>
  <c r="A306" i="40" s="1"/>
  <c r="A304" i="40" s="1"/>
  <c r="A308" i="40" s="1"/>
  <c r="A307" i="40" l="1"/>
  <c r="A309" i="40" s="1"/>
  <c r="A310" i="40" s="1"/>
  <c r="A311" i="40" s="1"/>
  <c r="A312" i="40" s="1"/>
  <c r="A254" i="40" l="1"/>
  <c r="A255" i="40" s="1"/>
  <c r="A256" i="40" s="1"/>
  <c r="A257" i="40" s="1"/>
  <c r="A258" i="40" s="1"/>
  <c r="A259" i="40" s="1"/>
  <c r="A260" i="40" s="1"/>
  <c r="A261" i="40" s="1"/>
  <c r="A262" i="40" s="1"/>
  <c r="A263" i="40" s="1"/>
  <c r="A264" i="40" s="1"/>
  <c r="A265" i="40" s="1"/>
  <c r="A266" i="40" s="1"/>
  <c r="A267" i="40" s="1"/>
  <c r="A268" i="40" s="1"/>
  <c r="A269" i="40" s="1"/>
  <c r="A270" i="40" s="1"/>
  <c r="A271" i="40" s="1"/>
  <c r="A272" i="40" s="1"/>
  <c r="A273" i="40" s="1"/>
  <c r="A240" i="40" l="1"/>
  <c r="A241" i="40" s="1"/>
  <c r="A242" i="40" s="1"/>
  <c r="A243" i="40" s="1"/>
  <c r="A244" i="40" s="1"/>
  <c r="A245" i="40" s="1"/>
  <c r="A246" i="40" s="1"/>
  <c r="A221" i="40"/>
  <c r="A222" i="40" s="1"/>
  <c r="A223" i="40" s="1"/>
  <c r="F227" i="40"/>
  <c r="F228" i="40" s="1"/>
  <c r="E227" i="40"/>
  <c r="E228" i="40" s="1"/>
  <c r="D227" i="40"/>
  <c r="D228" i="40" s="1"/>
  <c r="G226" i="40"/>
  <c r="I226" i="40" s="1"/>
  <c r="G224" i="40"/>
  <c r="I224" i="40" s="1"/>
  <c r="A224" i="40" l="1"/>
  <c r="A226" i="40" s="1"/>
  <c r="A227" i="40" s="1"/>
  <c r="A228" i="40" s="1"/>
  <c r="A229" i="40" s="1"/>
  <c r="A238" i="40" s="1"/>
  <c r="A225" i="40"/>
  <c r="A248" i="40"/>
  <c r="A249" i="40" s="1"/>
  <c r="A250" i="40" s="1"/>
  <c r="A251" i="40" s="1"/>
  <c r="A252" i="40" s="1"/>
  <c r="A247" i="40"/>
  <c r="G227" i="40"/>
  <c r="H227" i="40" s="1"/>
  <c r="I227" i="40" l="1"/>
  <c r="G228" i="40"/>
  <c r="L375" i="5" l="1"/>
  <c r="L374" i="5"/>
  <c r="L370" i="5"/>
  <c r="L369" i="5"/>
  <c r="L367" i="5"/>
  <c r="L366" i="5"/>
  <c r="L363" i="5"/>
  <c r="L361" i="5"/>
  <c r="L360" i="5"/>
  <c r="L359" i="5"/>
  <c r="L358" i="5"/>
  <c r="L357" i="5"/>
  <c r="L356" i="5"/>
  <c r="L354" i="5"/>
  <c r="L353" i="5"/>
  <c r="L352" i="5"/>
  <c r="L351" i="5"/>
  <c r="L350" i="5"/>
  <c r="L349" i="5"/>
  <c r="L348" i="5"/>
  <c r="L345" i="5"/>
  <c r="L344" i="5"/>
  <c r="L343" i="5"/>
  <c r="L342" i="5"/>
  <c r="L341" i="5"/>
  <c r="L340" i="5"/>
  <c r="L338" i="5"/>
  <c r="L337" i="5"/>
  <c r="L336" i="5"/>
  <c r="L335" i="5"/>
  <c r="L334" i="5"/>
  <c r="L333" i="5"/>
  <c r="L329" i="5"/>
  <c r="L328" i="5"/>
  <c r="L327" i="5"/>
  <c r="L326" i="5"/>
  <c r="L325" i="5"/>
  <c r="L322" i="5"/>
  <c r="L321" i="5"/>
  <c r="L320" i="5"/>
  <c r="L318" i="5"/>
  <c r="L317" i="5"/>
  <c r="L316" i="5"/>
  <c r="L315" i="5"/>
  <c r="L314" i="5"/>
  <c r="L313" i="5"/>
  <c r="L307" i="5"/>
  <c r="L305" i="5"/>
  <c r="L304" i="5"/>
  <c r="L303" i="5"/>
  <c r="L301" i="5"/>
  <c r="L300" i="5"/>
  <c r="L297" i="5"/>
  <c r="L296" i="5"/>
  <c r="L295" i="5"/>
  <c r="L294" i="5"/>
  <c r="L293" i="5"/>
  <c r="L292" i="5"/>
  <c r="L290" i="5"/>
  <c r="L289" i="5"/>
  <c r="L288" i="5"/>
  <c r="L287" i="5"/>
  <c r="L286" i="5"/>
  <c r="L285" i="5"/>
  <c r="L284" i="5"/>
  <c r="L282" i="5"/>
  <c r="L281" i="5"/>
  <c r="L276" i="5"/>
  <c r="L275" i="5"/>
  <c r="L273" i="5"/>
  <c r="L272" i="5"/>
  <c r="L271" i="5"/>
  <c r="L270" i="5"/>
  <c r="L269" i="5"/>
  <c r="L268" i="5"/>
  <c r="L267" i="5"/>
  <c r="L265" i="5"/>
  <c r="L264" i="5"/>
  <c r="L263" i="5"/>
  <c r="L262" i="5"/>
  <c r="L261" i="5"/>
  <c r="L259" i="5"/>
  <c r="L258" i="5"/>
  <c r="L257" i="5"/>
  <c r="L256" i="5"/>
  <c r="L255" i="5"/>
  <c r="L253" i="5"/>
  <c r="L252" i="5"/>
  <c r="L251" i="5"/>
  <c r="L250" i="5"/>
  <c r="L249" i="5"/>
  <c r="L248" i="5"/>
  <c r="L247" i="5"/>
  <c r="L244" i="5"/>
  <c r="L243" i="5"/>
  <c r="L241" i="5"/>
  <c r="L240" i="5"/>
  <c r="L239" i="5"/>
  <c r="L238" i="5"/>
  <c r="L236" i="5"/>
  <c r="L235" i="5"/>
  <c r="L234" i="5"/>
  <c r="L233" i="5"/>
  <c r="L231" i="5"/>
  <c r="L230" i="5"/>
  <c r="L229" i="5"/>
  <c r="L227" i="5"/>
  <c r="L226" i="5"/>
  <c r="L225" i="5"/>
  <c r="L224" i="5"/>
  <c r="L223" i="5"/>
  <c r="L222" i="5"/>
  <c r="L220" i="5"/>
  <c r="L219" i="5"/>
  <c r="L218" i="5"/>
  <c r="L216" i="5"/>
  <c r="L214" i="5"/>
  <c r="L213" i="5"/>
  <c r="L212" i="5"/>
  <c r="L211" i="5"/>
  <c r="L210" i="5"/>
  <c r="L209" i="5"/>
  <c r="L208" i="5"/>
  <c r="L207" i="5"/>
  <c r="L206" i="5"/>
  <c r="L205" i="5"/>
  <c r="L204" i="5"/>
  <c r="L198" i="5"/>
  <c r="L197" i="5"/>
  <c r="L196" i="5"/>
  <c r="L195" i="5"/>
  <c r="L194" i="5"/>
  <c r="L191" i="5"/>
  <c r="L190" i="5"/>
  <c r="L189" i="5"/>
  <c r="L188" i="5"/>
  <c r="L187" i="5"/>
  <c r="L186" i="5"/>
  <c r="L185" i="5"/>
  <c r="L182" i="5"/>
  <c r="L181" i="5"/>
  <c r="L180" i="5"/>
  <c r="L178" i="5"/>
  <c r="L177" i="5"/>
  <c r="L176" i="5"/>
  <c r="L175" i="5"/>
  <c r="L174" i="5"/>
  <c r="L170" i="5"/>
  <c r="L169" i="5"/>
  <c r="L168" i="5"/>
  <c r="L165" i="5"/>
  <c r="L164" i="5"/>
  <c r="L163" i="5"/>
  <c r="L161" i="5"/>
  <c r="L160" i="5"/>
  <c r="L159" i="5"/>
  <c r="L155" i="5"/>
  <c r="L154" i="5"/>
  <c r="L153" i="5"/>
  <c r="L152" i="5"/>
  <c r="L151" i="5"/>
  <c r="L150" i="5"/>
  <c r="L149" i="5"/>
  <c r="L147" i="5"/>
  <c r="L146" i="5"/>
  <c r="L145" i="5"/>
  <c r="L144" i="5"/>
  <c r="L143" i="5"/>
  <c r="L142" i="5"/>
  <c r="L141" i="5"/>
  <c r="L138" i="5"/>
  <c r="L137" i="5"/>
  <c r="L136" i="5"/>
  <c r="L135" i="5"/>
  <c r="L134" i="5"/>
  <c r="L132" i="5"/>
  <c r="L131" i="5"/>
  <c r="L130" i="5"/>
  <c r="L129" i="5"/>
  <c r="L128" i="5"/>
  <c r="L125" i="5"/>
  <c r="L124" i="5"/>
  <c r="L123" i="5"/>
  <c r="L122" i="5"/>
  <c r="L121" i="5"/>
  <c r="L120" i="5"/>
  <c r="L118" i="5"/>
  <c r="L117" i="5"/>
  <c r="L116" i="5"/>
  <c r="L115" i="5"/>
  <c r="L114" i="5"/>
  <c r="L113" i="5"/>
  <c r="L111" i="5"/>
  <c r="L109" i="5"/>
  <c r="L108" i="5"/>
  <c r="L107" i="5"/>
  <c r="L106" i="5"/>
  <c r="L105" i="5"/>
  <c r="L104" i="5"/>
  <c r="L103" i="5"/>
  <c r="L101" i="5"/>
  <c r="L100" i="5"/>
  <c r="L99" i="5"/>
  <c r="L98" i="5"/>
  <c r="L97" i="5"/>
  <c r="L96" i="5"/>
  <c r="L91" i="5"/>
  <c r="L90" i="5"/>
  <c r="L88" i="5"/>
  <c r="L87" i="5"/>
  <c r="L86" i="5"/>
  <c r="L85" i="5"/>
  <c r="L84" i="5"/>
  <c r="L83" i="5"/>
  <c r="L82" i="5"/>
  <c r="L81" i="5"/>
  <c r="L80" i="5"/>
  <c r="L79" i="5"/>
  <c r="L78" i="5"/>
  <c r="L75" i="5"/>
  <c r="L73" i="5"/>
  <c r="L72" i="5"/>
  <c r="L70" i="5"/>
  <c r="L69" i="5"/>
  <c r="L68" i="5"/>
  <c r="L66" i="5"/>
  <c r="L65" i="5"/>
  <c r="L63" i="5"/>
  <c r="L62" i="5"/>
  <c r="L61" i="5"/>
  <c r="L60" i="5"/>
  <c r="L58" i="5"/>
  <c r="L57" i="5"/>
  <c r="L56" i="5"/>
  <c r="L55" i="5"/>
  <c r="L54" i="5"/>
  <c r="L53" i="5"/>
  <c r="L50" i="5"/>
  <c r="L49" i="5"/>
  <c r="L47" i="5"/>
  <c r="L46" i="5"/>
  <c r="L45" i="5"/>
  <c r="L44" i="5"/>
  <c r="L42" i="5"/>
  <c r="L41" i="5"/>
  <c r="L40" i="5"/>
  <c r="L38" i="5"/>
  <c r="L37" i="5"/>
  <c r="L36" i="5"/>
  <c r="L35" i="5"/>
  <c r="L31" i="5"/>
  <c r="L30" i="5"/>
  <c r="L29" i="5"/>
  <c r="L28" i="5"/>
  <c r="L26" i="5"/>
  <c r="L25" i="5"/>
  <c r="L24" i="5"/>
  <c r="L21" i="5"/>
  <c r="L20" i="5"/>
  <c r="L17" i="5"/>
  <c r="L16" i="5"/>
  <c r="L14" i="5"/>
  <c r="L13" i="5"/>
  <c r="L12" i="5"/>
  <c r="L10" i="5"/>
  <c r="L9" i="5"/>
  <c r="L8" i="5"/>
  <c r="K375" i="5"/>
  <c r="K374" i="5"/>
  <c r="K370" i="5"/>
  <c r="K369" i="5"/>
  <c r="K367" i="5"/>
  <c r="K366" i="5"/>
  <c r="K363" i="5"/>
  <c r="K361" i="5"/>
  <c r="K360" i="5"/>
  <c r="K359" i="5"/>
  <c r="K358" i="5"/>
  <c r="K357" i="5"/>
  <c r="K356" i="5"/>
  <c r="K354" i="5"/>
  <c r="K353" i="5"/>
  <c r="K352" i="5"/>
  <c r="K351" i="5"/>
  <c r="K350" i="5"/>
  <c r="K349" i="5"/>
  <c r="K348" i="5"/>
  <c r="K345" i="5"/>
  <c r="K344" i="5"/>
  <c r="K343" i="5"/>
  <c r="K342" i="5"/>
  <c r="K341" i="5"/>
  <c r="K340" i="5"/>
  <c r="K338" i="5"/>
  <c r="K337" i="5"/>
  <c r="K336" i="5"/>
  <c r="K335" i="5"/>
  <c r="K334" i="5"/>
  <c r="K333" i="5"/>
  <c r="K329" i="5"/>
  <c r="K328" i="5"/>
  <c r="K327" i="5"/>
  <c r="K326" i="5"/>
  <c r="K325" i="5"/>
  <c r="K322" i="5"/>
  <c r="K321" i="5"/>
  <c r="K320" i="5"/>
  <c r="K318" i="5"/>
  <c r="K317" i="5"/>
  <c r="K316" i="5"/>
  <c r="K315" i="5"/>
  <c r="K314" i="5"/>
  <c r="K313" i="5"/>
  <c r="K307" i="5"/>
  <c r="K305" i="5"/>
  <c r="K304" i="5"/>
  <c r="K303" i="5"/>
  <c r="K301" i="5"/>
  <c r="K300" i="5"/>
  <c r="K297" i="5"/>
  <c r="K296" i="5"/>
  <c r="K295" i="5"/>
  <c r="K294" i="5"/>
  <c r="K293" i="5"/>
  <c r="K292" i="5"/>
  <c r="K290" i="5"/>
  <c r="K289" i="5"/>
  <c r="K288" i="5"/>
  <c r="K287" i="5"/>
  <c r="K286" i="5"/>
  <c r="K285" i="5"/>
  <c r="K284" i="5"/>
  <c r="K282" i="5"/>
  <c r="K281" i="5"/>
  <c r="K276" i="5"/>
  <c r="K275" i="5"/>
  <c r="K273" i="5"/>
  <c r="K272" i="5"/>
  <c r="K271" i="5"/>
  <c r="K270" i="5"/>
  <c r="K269" i="5"/>
  <c r="K268" i="5"/>
  <c r="K267" i="5"/>
  <c r="K265" i="5"/>
  <c r="K264" i="5"/>
  <c r="K263" i="5"/>
  <c r="K262" i="5"/>
  <c r="K261" i="5"/>
  <c r="K259" i="5"/>
  <c r="K258" i="5"/>
  <c r="K257" i="5"/>
  <c r="K256" i="5"/>
  <c r="K255" i="5"/>
  <c r="K253" i="5"/>
  <c r="K252" i="5"/>
  <c r="K251" i="5"/>
  <c r="K250" i="5"/>
  <c r="K249" i="5"/>
  <c r="K248" i="5"/>
  <c r="K247" i="5"/>
  <c r="K244" i="5"/>
  <c r="K243" i="5"/>
  <c r="K241" i="5"/>
  <c r="K240" i="5"/>
  <c r="K239" i="5"/>
  <c r="K238" i="5"/>
  <c r="K236" i="5"/>
  <c r="K235" i="5"/>
  <c r="K234" i="5"/>
  <c r="K233" i="5"/>
  <c r="K231" i="5"/>
  <c r="K230" i="5"/>
  <c r="K229" i="5"/>
  <c r="K227" i="5"/>
  <c r="K226" i="5"/>
  <c r="K225" i="5"/>
  <c r="K224" i="5"/>
  <c r="K223" i="5"/>
  <c r="K222" i="5"/>
  <c r="K220" i="5"/>
  <c r="K219" i="5"/>
  <c r="K218" i="5"/>
  <c r="K216" i="5"/>
  <c r="K214" i="5"/>
  <c r="K213" i="5"/>
  <c r="K212" i="5"/>
  <c r="K211" i="5"/>
  <c r="K210" i="5"/>
  <c r="K209" i="5"/>
  <c r="K208" i="5"/>
  <c r="K207" i="5"/>
  <c r="K206" i="5"/>
  <c r="K205" i="5"/>
  <c r="K204" i="5"/>
  <c r="K198" i="5"/>
  <c r="K197" i="5"/>
  <c r="K196" i="5"/>
  <c r="K195" i="5"/>
  <c r="K194" i="5"/>
  <c r="K191" i="5"/>
  <c r="K190" i="5"/>
  <c r="K189" i="5"/>
  <c r="K188" i="5"/>
  <c r="K187" i="5"/>
  <c r="K186" i="5"/>
  <c r="K185" i="5"/>
  <c r="K182" i="5"/>
  <c r="K181" i="5"/>
  <c r="K180" i="5"/>
  <c r="K178" i="5"/>
  <c r="K177" i="5"/>
  <c r="K176" i="5"/>
  <c r="K175" i="5"/>
  <c r="K174" i="5"/>
  <c r="K170" i="5"/>
  <c r="K169" i="5"/>
  <c r="K168" i="5"/>
  <c r="K165" i="5"/>
  <c r="K164" i="5"/>
  <c r="K163" i="5"/>
  <c r="K161" i="5"/>
  <c r="K160" i="5"/>
  <c r="K159" i="5"/>
  <c r="K155" i="5"/>
  <c r="K154" i="5"/>
  <c r="K153" i="5"/>
  <c r="K152" i="5"/>
  <c r="K151" i="5"/>
  <c r="K150" i="5"/>
  <c r="K149" i="5"/>
  <c r="K147" i="5"/>
  <c r="K146" i="5"/>
  <c r="K145" i="5"/>
  <c r="K144" i="5"/>
  <c r="K143" i="5"/>
  <c r="K142" i="5"/>
  <c r="K141" i="5"/>
  <c r="K138" i="5"/>
  <c r="K137" i="5"/>
  <c r="K136" i="5"/>
  <c r="K135" i="5"/>
  <c r="K134" i="5"/>
  <c r="K132" i="5"/>
  <c r="K131" i="5"/>
  <c r="K130" i="5"/>
  <c r="K129" i="5"/>
  <c r="K128" i="5"/>
  <c r="K125" i="5"/>
  <c r="K124" i="5"/>
  <c r="K123" i="5"/>
  <c r="K122" i="5"/>
  <c r="K121" i="5"/>
  <c r="K120" i="5"/>
  <c r="K118" i="5"/>
  <c r="K117" i="5"/>
  <c r="K116" i="5"/>
  <c r="K115" i="5"/>
  <c r="K114" i="5"/>
  <c r="K113" i="5"/>
  <c r="K111" i="5"/>
  <c r="K109" i="5"/>
  <c r="K108" i="5"/>
  <c r="K107" i="5"/>
  <c r="K106" i="5"/>
  <c r="K105" i="5"/>
  <c r="K104" i="5"/>
  <c r="K103" i="5"/>
  <c r="K101" i="5"/>
  <c r="K100" i="5"/>
  <c r="K99" i="5"/>
  <c r="K98" i="5"/>
  <c r="K97" i="5"/>
  <c r="K96" i="5"/>
  <c r="K91" i="5"/>
  <c r="K90" i="5"/>
  <c r="K88" i="5"/>
  <c r="K87" i="5"/>
  <c r="K86" i="5"/>
  <c r="K85" i="5"/>
  <c r="K84" i="5"/>
  <c r="K83" i="5"/>
  <c r="K82" i="5"/>
  <c r="K81" i="5"/>
  <c r="K80" i="5"/>
  <c r="K79" i="5"/>
  <c r="K78" i="5"/>
  <c r="K75" i="5"/>
  <c r="K73" i="5"/>
  <c r="K72" i="5"/>
  <c r="K70" i="5"/>
  <c r="K69" i="5"/>
  <c r="K68" i="5"/>
  <c r="K66" i="5"/>
  <c r="K65" i="5"/>
  <c r="K63" i="5"/>
  <c r="K62" i="5"/>
  <c r="K61" i="5"/>
  <c r="K60" i="5"/>
  <c r="K58" i="5"/>
  <c r="K57" i="5"/>
  <c r="K56" i="5"/>
  <c r="K55" i="5"/>
  <c r="K54" i="5"/>
  <c r="K53" i="5"/>
  <c r="K50" i="5"/>
  <c r="K49" i="5"/>
  <c r="K47" i="5"/>
  <c r="K46" i="5"/>
  <c r="K45" i="5"/>
  <c r="K44" i="5"/>
  <c r="K42" i="5"/>
  <c r="K41" i="5"/>
  <c r="K40" i="5"/>
  <c r="K38" i="5"/>
  <c r="K37" i="5"/>
  <c r="K36" i="5"/>
  <c r="K35" i="5"/>
  <c r="K31" i="5"/>
  <c r="K30" i="5"/>
  <c r="K29" i="5"/>
  <c r="K28" i="5"/>
  <c r="K26" i="5"/>
  <c r="K25" i="5"/>
  <c r="K24" i="5"/>
  <c r="K21" i="5"/>
  <c r="K20" i="5"/>
  <c r="K17" i="5"/>
  <c r="K16" i="5"/>
  <c r="K14" i="5"/>
  <c r="K13" i="5"/>
  <c r="K12" i="5"/>
  <c r="K10" i="5"/>
  <c r="K9" i="5"/>
  <c r="K8" i="5"/>
  <c r="L217" i="5" l="1"/>
  <c r="K217" i="5"/>
  <c r="L362" i="5" l="1"/>
  <c r="D307" i="40"/>
  <c r="D309" i="40" s="1"/>
  <c r="K362" i="5"/>
  <c r="D277" i="40"/>
  <c r="A275" i="40"/>
  <c r="A276" i="40" s="1"/>
  <c r="A277" i="40" s="1"/>
  <c r="A278" i="40" s="1"/>
  <c r="A279" i="40" s="1"/>
  <c r="A280" i="40" s="1"/>
  <c r="A281" i="40" s="1"/>
  <c r="A282" i="40" s="1"/>
  <c r="A283" i="40" s="1"/>
  <c r="D318" i="40" l="1"/>
  <c r="D319" i="40"/>
  <c r="A23" i="40"/>
  <c r="A24" i="40" s="1"/>
  <c r="A25" i="40" s="1"/>
  <c r="A26" i="40" s="1"/>
  <c r="A27" i="40" s="1"/>
  <c r="A28" i="40" s="1"/>
  <c r="A29" i="40" s="1"/>
  <c r="A30" i="40" s="1"/>
  <c r="A31" i="40" s="1"/>
  <c r="A32" i="40" s="1"/>
  <c r="D18" i="40"/>
  <c r="D19" i="40" s="1"/>
  <c r="A15" i="40"/>
  <c r="A16" i="40" s="1"/>
  <c r="A17" i="40" s="1"/>
  <c r="A18" i="40" s="1"/>
  <c r="A21" i="40" s="1"/>
  <c r="D16" i="40"/>
  <c r="D136" i="40" s="1"/>
  <c r="D212" i="40" s="1"/>
  <c r="D310" i="40" l="1"/>
  <c r="A19" i="40"/>
  <c r="A20" i="40" s="1"/>
  <c r="A48" i="40"/>
  <c r="A49" i="40" s="1"/>
  <c r="A50" i="40" s="1"/>
  <c r="A44" i="40"/>
  <c r="A45" i="40" s="1"/>
  <c r="A46" i="40" s="1"/>
  <c r="E68" i="40" l="1"/>
  <c r="E71" i="40" s="1"/>
  <c r="F68" i="40"/>
  <c r="F71" i="40" s="1"/>
  <c r="G68" i="40"/>
  <c r="G71" i="40" s="1"/>
  <c r="D68" i="40"/>
  <c r="D71" i="40" s="1"/>
  <c r="A52" i="40"/>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4" i="40" l="1"/>
  <c r="A5" i="40" s="1"/>
  <c r="A6" i="40" s="1"/>
  <c r="A7" i="40" s="1"/>
  <c r="A8" i="40" s="1"/>
  <c r="A9" i="40" s="1"/>
  <c r="A10" i="40" s="1"/>
  <c r="A11" i="40" s="1"/>
  <c r="A12" i="40" s="1"/>
  <c r="A13" i="40" s="1"/>
  <c r="D317" i="40"/>
  <c r="D291" i="40"/>
  <c r="D292" i="40" s="1"/>
  <c r="D285" i="40"/>
  <c r="F246" i="40"/>
  <c r="E246" i="40"/>
  <c r="G244" i="40"/>
  <c r="G243" i="40"/>
  <c r="F65" i="40"/>
  <c r="F66" i="40" s="1"/>
  <c r="E65" i="40"/>
  <c r="E66" i="40" s="1"/>
  <c r="D65" i="40"/>
  <c r="D66" i="40" s="1"/>
  <c r="G63" i="40"/>
  <c r="B15" i="34" s="1"/>
  <c r="F59" i="40"/>
  <c r="E59" i="40"/>
  <c r="D59" i="40"/>
  <c r="G57" i="40"/>
  <c r="D29" i="40"/>
  <c r="D30" i="40" s="1"/>
  <c r="D4" i="40"/>
  <c r="D302" i="40" l="1"/>
  <c r="D314" i="40" s="1"/>
  <c r="D296" i="40"/>
  <c r="G65" i="40"/>
  <c r="D320" i="40"/>
  <c r="D23" i="40"/>
  <c r="D15" i="40"/>
  <c r="D135" i="40" s="1"/>
  <c r="D211" i="40" s="1"/>
  <c r="D60" i="40"/>
  <c r="D69" i="40"/>
  <c r="D72" i="40" s="1"/>
  <c r="E69" i="40"/>
  <c r="E72" i="40" s="1"/>
  <c r="E60" i="40"/>
  <c r="F69" i="40"/>
  <c r="F72" i="40" s="1"/>
  <c r="F60" i="40"/>
  <c r="G59" i="40"/>
  <c r="H59" i="40" s="1"/>
  <c r="G246" i="40"/>
  <c r="F2" i="39"/>
  <c r="E2" i="39"/>
  <c r="J48" i="39"/>
  <c r="J40" i="39"/>
  <c r="J29" i="39"/>
  <c r="J22" i="39"/>
  <c r="J15" i="39"/>
  <c r="D325" i="40" l="1"/>
  <c r="D333" i="40" s="1"/>
  <c r="D34" i="40"/>
  <c r="G66" i="40"/>
  <c r="H65" i="40"/>
  <c r="G60" i="40"/>
  <c r="G69" i="40"/>
  <c r="G72" i="40" l="1"/>
  <c r="G76" i="40"/>
  <c r="H69" i="40"/>
  <c r="H39" i="8"/>
  <c r="H37" i="8"/>
  <c r="H36" i="8"/>
  <c r="H33" i="8"/>
  <c r="H32" i="8"/>
  <c r="H31" i="8"/>
  <c r="H30" i="8"/>
  <c r="J7" i="39" s="1"/>
  <c r="H28" i="8"/>
  <c r="H26" i="8"/>
  <c r="H25" i="8"/>
  <c r="H22" i="8"/>
  <c r="H20" i="8"/>
  <c r="H19" i="8"/>
  <c r="H18" i="8"/>
  <c r="H17" i="8"/>
  <c r="H16" i="8"/>
  <c r="H15" i="8"/>
  <c r="H14" i="8"/>
  <c r="H13" i="8"/>
  <c r="H12" i="8"/>
  <c r="H10" i="8"/>
  <c r="H8" i="8"/>
  <c r="H148" i="7"/>
  <c r="H146" i="7"/>
  <c r="H145" i="7"/>
  <c r="H144" i="7"/>
  <c r="H142" i="7"/>
  <c r="H141" i="7"/>
  <c r="H140" i="7"/>
  <c r="H139" i="7"/>
  <c r="H138" i="7"/>
  <c r="H137" i="7"/>
  <c r="H136" i="7"/>
  <c r="H135" i="7"/>
  <c r="H134" i="7"/>
  <c r="H133" i="7"/>
  <c r="H132" i="7"/>
  <c r="H131" i="7"/>
  <c r="H130" i="7"/>
  <c r="H129" i="7"/>
  <c r="H128" i="7"/>
  <c r="H127" i="7"/>
  <c r="H126" i="7"/>
  <c r="H125" i="7"/>
  <c r="H123" i="7"/>
  <c r="H120" i="7"/>
  <c r="H119" i="7"/>
  <c r="H118" i="7"/>
  <c r="H117" i="7"/>
  <c r="H116" i="7"/>
  <c r="H115" i="7"/>
  <c r="H114" i="7"/>
  <c r="H113" i="7"/>
  <c r="H112" i="7"/>
  <c r="H111" i="7"/>
  <c r="H110" i="7"/>
  <c r="H109" i="7"/>
  <c r="H108" i="7"/>
  <c r="H107" i="7"/>
  <c r="H105" i="7"/>
  <c r="H104" i="7"/>
  <c r="H103" i="7"/>
  <c r="H102" i="7"/>
  <c r="H101" i="7"/>
  <c r="H100" i="7"/>
  <c r="H99" i="7"/>
  <c r="H98" i="7"/>
  <c r="H97" i="7"/>
  <c r="H96" i="7"/>
  <c r="H95" i="7"/>
  <c r="H94" i="7"/>
  <c r="H93" i="7"/>
  <c r="H92" i="7"/>
  <c r="H91" i="7"/>
  <c r="H89" i="7"/>
  <c r="H84" i="7"/>
  <c r="H82" i="7"/>
  <c r="H81" i="7"/>
  <c r="H80" i="7"/>
  <c r="H79" i="7"/>
  <c r="H78" i="7"/>
  <c r="H77" i="7"/>
  <c r="H75" i="7"/>
  <c r="H74" i="7"/>
  <c r="H73" i="7"/>
  <c r="H72" i="7"/>
  <c r="H71" i="7"/>
  <c r="H70" i="7"/>
  <c r="H68" i="7"/>
  <c r="H67" i="7"/>
  <c r="H66" i="7"/>
  <c r="H64" i="7"/>
  <c r="H63" i="7"/>
  <c r="H62" i="7"/>
  <c r="H60" i="7"/>
  <c r="H59" i="7"/>
  <c r="H58" i="7"/>
  <c r="H57" i="7"/>
  <c r="H56" i="7"/>
  <c r="H55" i="7"/>
  <c r="H54" i="7"/>
  <c r="H53" i="7"/>
  <c r="H52" i="7"/>
  <c r="H51" i="7"/>
  <c r="H49" i="7"/>
  <c r="H48" i="7"/>
  <c r="H47" i="7"/>
  <c r="H46" i="7"/>
  <c r="H45" i="7"/>
  <c r="H44" i="7"/>
  <c r="H43" i="7"/>
  <c r="H42" i="7"/>
  <c r="H40" i="7"/>
  <c r="H38" i="7"/>
  <c r="H37" i="7"/>
  <c r="H36" i="7"/>
  <c r="H35" i="7"/>
  <c r="H34" i="7"/>
  <c r="H33" i="7"/>
  <c r="H31" i="7"/>
  <c r="H30" i="7"/>
  <c r="H29" i="7"/>
  <c r="H27" i="7"/>
  <c r="H26" i="7"/>
  <c r="H25" i="7"/>
  <c r="H24" i="7"/>
  <c r="H23" i="7"/>
  <c r="H22" i="7"/>
  <c r="H21" i="7"/>
  <c r="H20" i="7"/>
  <c r="H19" i="7"/>
  <c r="H17" i="7"/>
  <c r="H16" i="7"/>
  <c r="H15" i="7"/>
  <c r="H14" i="7"/>
  <c r="H12" i="7"/>
  <c r="H11" i="7"/>
  <c r="H10" i="7"/>
  <c r="H8" i="7"/>
  <c r="O52" i="5" l="1"/>
  <c r="O77" i="5"/>
  <c r="O94" i="5"/>
  <c r="O95" i="5"/>
  <c r="O202" i="5"/>
  <c r="O203" i="5"/>
  <c r="O246" i="5"/>
  <c r="O280" i="5"/>
  <c r="O311" i="5"/>
  <c r="O312" i="5"/>
  <c r="O347" i="5"/>
  <c r="O377" i="5"/>
  <c r="O378" i="5"/>
  <c r="O379" i="5"/>
  <c r="O380" i="5"/>
  <c r="O381" i="5"/>
  <c r="O382" i="5"/>
  <c r="O383" i="5"/>
  <c r="O384" i="5"/>
  <c r="O385" i="5"/>
  <c r="I2" i="3" l="1"/>
  <c r="O295" i="5" l="1"/>
  <c r="O370" i="5" l="1"/>
  <c r="O369" i="5"/>
  <c r="O367" i="5"/>
  <c r="O366" i="5"/>
  <c r="O363" i="5"/>
  <c r="O362" i="5"/>
  <c r="O361" i="5"/>
  <c r="O360" i="5"/>
  <c r="O359" i="5"/>
  <c r="O358" i="5"/>
  <c r="O357" i="5"/>
  <c r="O356" i="5"/>
  <c r="O354" i="5"/>
  <c r="O353" i="5"/>
  <c r="O352" i="5"/>
  <c r="O351" i="5"/>
  <c r="O350" i="5"/>
  <c r="O349" i="5"/>
  <c r="O348" i="5"/>
  <c r="O345" i="5"/>
  <c r="O344" i="5"/>
  <c r="O343" i="5"/>
  <c r="O342" i="5"/>
  <c r="O341" i="5"/>
  <c r="O340" i="5"/>
  <c r="O338" i="5"/>
  <c r="O337" i="5"/>
  <c r="O336" i="5"/>
  <c r="O335" i="5"/>
  <c r="O334" i="5"/>
  <c r="O333" i="5"/>
  <c r="O329" i="5"/>
  <c r="O328" i="5"/>
  <c r="O327" i="5"/>
  <c r="O326" i="5"/>
  <c r="O325" i="5"/>
  <c r="O322" i="5"/>
  <c r="O321" i="5"/>
  <c r="O320" i="5"/>
  <c r="O314" i="5"/>
  <c r="O315" i="5"/>
  <c r="O316" i="5"/>
  <c r="O317" i="5"/>
  <c r="O318" i="5"/>
  <c r="O313" i="5"/>
  <c r="G40" i="8" l="1"/>
  <c r="G18" i="8"/>
  <c r="G39" i="8"/>
  <c r="G37" i="8"/>
  <c r="G36" i="8"/>
  <c r="K2" i="3"/>
  <c r="F31" i="34" l="1"/>
  <c r="A31" i="34" s="1"/>
  <c r="CQ67" i="34"/>
  <c r="F65" i="34"/>
  <c r="F58" i="34"/>
  <c r="F57" i="34"/>
  <c r="F54" i="34"/>
  <c r="F53" i="34"/>
  <c r="F48" i="34"/>
  <c r="F46" i="34"/>
  <c r="F44" i="34"/>
  <c r="F42" i="34"/>
  <c r="F41" i="34"/>
  <c r="F40" i="34"/>
  <c r="F34" i="34"/>
  <c r="F33" i="34"/>
  <c r="F32" i="34"/>
  <c r="A32" i="34" s="1"/>
  <c r="F28" i="34"/>
  <c r="F27" i="34"/>
  <c r="F25" i="34"/>
  <c r="F17" i="34"/>
  <c r="F16" i="34"/>
  <c r="CP8" i="34"/>
  <c r="CP67" i="34" s="1"/>
  <c r="CP3" i="34" s="1"/>
  <c r="CO8" i="34"/>
  <c r="CO67" i="34" s="1"/>
  <c r="CO3" i="34" s="1"/>
  <c r="CN8" i="34"/>
  <c r="CN67" i="34" s="1"/>
  <c r="CN3" i="34" s="1"/>
  <c r="CM8" i="34"/>
  <c r="CM67" i="34" s="1"/>
  <c r="CM3" i="34" s="1"/>
  <c r="I8" i="34"/>
  <c r="I67" i="34" s="1"/>
  <c r="I3" i="34" s="1"/>
  <c r="H8" i="34"/>
  <c r="H67" i="34" s="1"/>
  <c r="H3" i="34" s="1"/>
  <c r="G8" i="34"/>
  <c r="G67" i="34" s="1"/>
  <c r="G3" i="34" s="1"/>
  <c r="L43" i="5" l="1"/>
  <c r="K43" i="5"/>
  <c r="O375" i="5"/>
  <c r="O374" i="5"/>
  <c r="O307" i="5"/>
  <c r="O305" i="5"/>
  <c r="O304" i="5"/>
  <c r="O303" i="5"/>
  <c r="O300" i="5"/>
  <c r="O297" i="5"/>
  <c r="O296" i="5"/>
  <c r="O294" i="5"/>
  <c r="O293" i="5"/>
  <c r="O292" i="5"/>
  <c r="O290" i="5"/>
  <c r="O289" i="5"/>
  <c r="O288" i="5"/>
  <c r="O287" i="5"/>
  <c r="O285" i="5"/>
  <c r="O284" i="5"/>
  <c r="O282" i="5"/>
  <c r="O276" i="5"/>
  <c r="O275" i="5"/>
  <c r="O273" i="5"/>
  <c r="O272" i="5"/>
  <c r="O271" i="5"/>
  <c r="O270" i="5"/>
  <c r="O269" i="5"/>
  <c r="O268" i="5"/>
  <c r="O267" i="5"/>
  <c r="O265" i="5"/>
  <c r="O264" i="5"/>
  <c r="O263" i="5"/>
  <c r="O262" i="5"/>
  <c r="O261" i="5"/>
  <c r="O258" i="5"/>
  <c r="O257" i="5"/>
  <c r="O256" i="5"/>
  <c r="O255" i="5"/>
  <c r="O253" i="5"/>
  <c r="O252" i="5"/>
  <c r="O251" i="5"/>
  <c r="O250" i="5"/>
  <c r="O249" i="5"/>
  <c r="O248" i="5"/>
  <c r="O247" i="5"/>
  <c r="O244" i="5"/>
  <c r="O243" i="5"/>
  <c r="O241" i="5"/>
  <c r="O240" i="5"/>
  <c r="O239" i="5"/>
  <c r="O238" i="5"/>
  <c r="O236" i="5"/>
  <c r="O235" i="5"/>
  <c r="O234" i="5"/>
  <c r="O233" i="5"/>
  <c r="O231" i="5"/>
  <c r="O230" i="5"/>
  <c r="O229" i="5"/>
  <c r="O227" i="5"/>
  <c r="O225" i="5"/>
  <c r="O224" i="5"/>
  <c r="O222" i="5"/>
  <c r="O220" i="5"/>
  <c r="O219" i="5"/>
  <c r="O218" i="5"/>
  <c r="O216" i="5"/>
  <c r="O214" i="5"/>
  <c r="O213" i="5"/>
  <c r="O212" i="5"/>
  <c r="O211" i="5"/>
  <c r="O210" i="5"/>
  <c r="O209" i="5"/>
  <c r="O208" i="5"/>
  <c r="O207" i="5"/>
  <c r="O198" i="5"/>
  <c r="O197" i="5"/>
  <c r="O196" i="5"/>
  <c r="O195" i="5"/>
  <c r="O194" i="5"/>
  <c r="O191" i="5"/>
  <c r="O190" i="5"/>
  <c r="O189" i="5"/>
  <c r="O188" i="5"/>
  <c r="O187" i="5"/>
  <c r="O186" i="5"/>
  <c r="O185" i="5"/>
  <c r="O182" i="5"/>
  <c r="O181" i="5"/>
  <c r="O180" i="5"/>
  <c r="O178" i="5"/>
  <c r="O177" i="5"/>
  <c r="O176" i="5"/>
  <c r="O175" i="5"/>
  <c r="O174" i="5"/>
  <c r="O170" i="5"/>
  <c r="O169" i="5"/>
  <c r="O168" i="5"/>
  <c r="O165" i="5"/>
  <c r="O163" i="5"/>
  <c r="O161" i="5"/>
  <c r="O159" i="5"/>
  <c r="O155" i="5"/>
  <c r="O154" i="5"/>
  <c r="O152" i="5"/>
  <c r="O151" i="5"/>
  <c r="O150" i="5"/>
  <c r="O149" i="5"/>
  <c r="O147" i="5"/>
  <c r="O146" i="5"/>
  <c r="O144" i="5"/>
  <c r="O143" i="5"/>
  <c r="O142" i="5"/>
  <c r="O141" i="5"/>
  <c r="O138" i="5"/>
  <c r="O137" i="5"/>
  <c r="O136" i="5"/>
  <c r="O135" i="5"/>
  <c r="O134" i="5"/>
  <c r="O132" i="5"/>
  <c r="O131" i="5"/>
  <c r="O130" i="5"/>
  <c r="O129" i="5"/>
  <c r="O128" i="5"/>
  <c r="O125" i="5"/>
  <c r="O124" i="5"/>
  <c r="O122" i="5"/>
  <c r="O120" i="5"/>
  <c r="O118" i="5"/>
  <c r="O117" i="5"/>
  <c r="O115" i="5"/>
  <c r="O113" i="5"/>
  <c r="O112" i="5"/>
  <c r="O111" i="5"/>
  <c r="O109" i="5"/>
  <c r="O108" i="5"/>
  <c r="O107" i="5"/>
  <c r="O106" i="5"/>
  <c r="O105" i="5"/>
  <c r="O104" i="5"/>
  <c r="O103" i="5"/>
  <c r="O101" i="5"/>
  <c r="O100" i="5"/>
  <c r="O99" i="5"/>
  <c r="O98" i="5"/>
  <c r="O97" i="5"/>
  <c r="O96" i="5"/>
  <c r="O91" i="5"/>
  <c r="O90" i="5"/>
  <c r="O88" i="5"/>
  <c r="O87" i="5"/>
  <c r="O86" i="5"/>
  <c r="O85" i="5"/>
  <c r="O84" i="5"/>
  <c r="O83" i="5"/>
  <c r="O82" i="5"/>
  <c r="O81" i="5"/>
  <c r="O79" i="5"/>
  <c r="O78" i="5"/>
  <c r="O75" i="5"/>
  <c r="O73" i="5"/>
  <c r="O72" i="5"/>
  <c r="O70" i="5"/>
  <c r="O69" i="5"/>
  <c r="O68" i="5"/>
  <c r="O66" i="5"/>
  <c r="O65" i="5"/>
  <c r="O63" i="5"/>
  <c r="O62" i="5"/>
  <c r="O61" i="5"/>
  <c r="O60" i="5"/>
  <c r="O58" i="5"/>
  <c r="O57" i="5"/>
  <c r="O56" i="5"/>
  <c r="O55" i="5"/>
  <c r="O54" i="5"/>
  <c r="O53" i="5"/>
  <c r="O50" i="5"/>
  <c r="O49" i="5"/>
  <c r="O47" i="5"/>
  <c r="O46" i="5"/>
  <c r="O45" i="5"/>
  <c r="O44" i="5"/>
  <c r="O42" i="5"/>
  <c r="O41" i="5"/>
  <c r="O40" i="5"/>
  <c r="O38" i="5"/>
  <c r="O37" i="5"/>
  <c r="O36" i="5"/>
  <c r="O35" i="5"/>
  <c r="O31" i="5"/>
  <c r="O30" i="5"/>
  <c r="O29" i="5"/>
  <c r="O28" i="5"/>
  <c r="O26" i="5"/>
  <c r="O25" i="5"/>
  <c r="O24" i="5"/>
  <c r="O21" i="5"/>
  <c r="O20" i="5"/>
  <c r="O17" i="5"/>
  <c r="O16" i="5"/>
  <c r="O14" i="5"/>
  <c r="O13" i="5"/>
  <c r="O10" i="5"/>
  <c r="O9" i="5"/>
  <c r="K34" i="5" l="1"/>
  <c r="L34" i="5"/>
  <c r="O281" i="5" l="1"/>
  <c r="O259" i="5"/>
  <c r="O226" i="5"/>
  <c r="O217" i="5"/>
  <c r="O80" i="5"/>
  <c r="O205" i="5"/>
  <c r="O204" i="5"/>
  <c r="O223" i="5"/>
  <c r="O160" i="5"/>
  <c r="O153" i="5"/>
  <c r="O145" i="5"/>
  <c r="O123" i="5"/>
  <c r="O121" i="5"/>
  <c r="O116" i="5"/>
  <c r="O114" i="5"/>
  <c r="O43" i="5"/>
  <c r="O34" i="5"/>
  <c r="O12" i="5"/>
  <c r="O8" i="5"/>
  <c r="O164" i="5" l="1"/>
  <c r="O206" i="5"/>
  <c r="O286" i="5"/>
  <c r="K371" i="5" l="1"/>
  <c r="O371" i="5"/>
  <c r="K368" i="5"/>
  <c r="O368" i="5"/>
  <c r="K364" i="5"/>
  <c r="K330" i="5"/>
  <c r="O330" i="5"/>
  <c r="O301" i="5"/>
  <c r="K291" i="5"/>
  <c r="O291" i="5"/>
  <c r="O192" i="5"/>
  <c r="O139" i="5"/>
  <c r="O110" i="5"/>
  <c r="O102" i="5"/>
  <c r="O89" i="5"/>
  <c r="O71" i="5"/>
  <c r="O67" i="5"/>
  <c r="O64" i="5"/>
  <c r="O59" i="5"/>
  <c r="O32" i="5"/>
  <c r="O27" i="5"/>
  <c r="O22" i="5"/>
  <c r="O18" i="5"/>
  <c r="O11" i="5"/>
  <c r="K372" i="5" l="1"/>
  <c r="O33" i="5"/>
  <c r="O364" i="5"/>
  <c r="K156" i="5"/>
  <c r="K179" i="5"/>
  <c r="K192" i="5"/>
  <c r="K193" i="5" s="1"/>
  <c r="O372" i="5"/>
  <c r="K11" i="5"/>
  <c r="K18" i="5"/>
  <c r="K22" i="5"/>
  <c r="K32" i="5"/>
  <c r="K64" i="5"/>
  <c r="K67" i="5"/>
  <c r="K71" i="5"/>
  <c r="K89" i="5"/>
  <c r="K92" i="5" s="1"/>
  <c r="K110" i="5"/>
  <c r="K48" i="5"/>
  <c r="O48" i="5"/>
  <c r="K102" i="5"/>
  <c r="K139" i="5"/>
  <c r="O15" i="5"/>
  <c r="O119" i="5"/>
  <c r="O133" i="5"/>
  <c r="O199" i="5"/>
  <c r="O254" i="5"/>
  <c r="K59" i="5"/>
  <c r="O39" i="5"/>
  <c r="O126" i="5"/>
  <c r="K15" i="5"/>
  <c r="K39" i="5"/>
  <c r="K126" i="5"/>
  <c r="K148" i="5"/>
  <c r="K171" i="5"/>
  <c r="K183" i="5"/>
  <c r="K221" i="5"/>
  <c r="K242" i="5"/>
  <c r="K254" i="5"/>
  <c r="K260" i="5"/>
  <c r="K266" i="5"/>
  <c r="K274" i="5"/>
  <c r="K277" i="5"/>
  <c r="K283" i="5"/>
  <c r="K306" i="5"/>
  <c r="K308" i="5" s="1"/>
  <c r="K331" i="5"/>
  <c r="K323" i="5"/>
  <c r="K339" i="5"/>
  <c r="K346" i="5"/>
  <c r="K133" i="5"/>
  <c r="K162" i="5"/>
  <c r="K199" i="5"/>
  <c r="O215" i="5"/>
  <c r="O228" i="5"/>
  <c r="O232" i="5"/>
  <c r="K119" i="5"/>
  <c r="K166" i="5"/>
  <c r="O171" i="5"/>
  <c r="O183" i="5"/>
  <c r="K215" i="5"/>
  <c r="O221" i="5"/>
  <c r="K228" i="5"/>
  <c r="K232" i="5"/>
  <c r="O237" i="5"/>
  <c r="O242" i="5"/>
  <c r="O92" i="5"/>
  <c r="O148" i="5"/>
  <c r="O156" i="5"/>
  <c r="O179" i="5"/>
  <c r="O193" i="5"/>
  <c r="K237" i="5"/>
  <c r="O260" i="5"/>
  <c r="O266" i="5"/>
  <c r="O274" i="5"/>
  <c r="O277" i="5"/>
  <c r="O306" i="5"/>
  <c r="O331" i="5"/>
  <c r="O323" i="5"/>
  <c r="O339" i="5"/>
  <c r="O346" i="5"/>
  <c r="O355" i="5"/>
  <c r="K355" i="5"/>
  <c r="O74" i="5"/>
  <c r="K27" i="5"/>
  <c r="O319" i="5"/>
  <c r="K319" i="5"/>
  <c r="O162" i="5" l="1"/>
  <c r="O166" i="5"/>
  <c r="O283" i="5"/>
  <c r="D269" i="40"/>
  <c r="O308" i="5"/>
  <c r="K33" i="5"/>
  <c r="K127" i="5"/>
  <c r="K157" i="5"/>
  <c r="K51" i="5"/>
  <c r="O140" i="5"/>
  <c r="O76" i="5"/>
  <c r="O19" i="5"/>
  <c r="K172" i="5"/>
  <c r="O51" i="5"/>
  <c r="K365" i="5"/>
  <c r="K184" i="5"/>
  <c r="K74" i="5"/>
  <c r="K76" i="5" s="1"/>
  <c r="K19" i="5"/>
  <c r="K23" i="5" s="1"/>
  <c r="O172" i="5"/>
  <c r="O245" i="5"/>
  <c r="K140" i="5"/>
  <c r="K167" i="5"/>
  <c r="K173" i="5" s="1"/>
  <c r="K245" i="5"/>
  <c r="K278" i="5"/>
  <c r="K324" i="5"/>
  <c r="O127" i="5"/>
  <c r="O278" i="5"/>
  <c r="O157" i="5"/>
  <c r="O365" i="5"/>
  <c r="O184" i="5"/>
  <c r="O167" i="5" l="1"/>
  <c r="O332" i="5"/>
  <c r="O324" i="5"/>
  <c r="K373" i="5"/>
  <c r="K158" i="5"/>
  <c r="K200" i="5" s="1"/>
  <c r="K93" i="5"/>
  <c r="O23" i="5"/>
  <c r="O173" i="5"/>
  <c r="O373" i="5"/>
  <c r="O158" i="5"/>
  <c r="O279" i="5"/>
  <c r="K279" i="5"/>
  <c r="K376" i="5" l="1"/>
  <c r="K201" i="5"/>
  <c r="O200" i="5"/>
  <c r="O376" i="5"/>
  <c r="O93" i="5"/>
  <c r="K298" i="5" l="1"/>
  <c r="K299" i="5" s="1"/>
  <c r="K302" i="5" s="1"/>
  <c r="K309" i="5" s="1"/>
  <c r="K310" i="5" s="1"/>
  <c r="K386" i="5" s="1"/>
  <c r="O298" i="5"/>
  <c r="O201" i="5" l="1"/>
  <c r="K387" i="5"/>
  <c r="G127" i="7" l="1"/>
  <c r="G126" i="7" s="1"/>
  <c r="Q286" i="5" l="1"/>
  <c r="G131" i="7"/>
  <c r="CE6" i="34" s="1"/>
  <c r="CC6" i="34"/>
  <c r="E247" i="40"/>
  <c r="E250" i="40" s="1"/>
  <c r="E251" i="40" s="1"/>
  <c r="G17" i="8"/>
  <c r="D298" i="40" s="1"/>
  <c r="G25" i="8"/>
  <c r="G26" i="8"/>
  <c r="G31" i="8"/>
  <c r="D329" i="40" s="1"/>
  <c r="G32" i="8"/>
  <c r="G13" i="8"/>
  <c r="G20" i="8"/>
  <c r="G10" i="8"/>
  <c r="G19" i="8"/>
  <c r="G15" i="8"/>
  <c r="F2" i="3"/>
  <c r="F18" i="34" l="1"/>
  <c r="A18" i="34" s="1"/>
  <c r="D311" i="40"/>
  <c r="D321" i="40"/>
  <c r="D293" i="40"/>
  <c r="G2" i="3"/>
  <c r="F45" i="34" l="1"/>
  <c r="A45" i="34" s="1"/>
  <c r="H7" i="3"/>
  <c r="H6" i="3"/>
  <c r="H12" i="3"/>
  <c r="H15" i="3"/>
  <c r="H16" i="3"/>
  <c r="H21" i="3"/>
  <c r="H23" i="3"/>
  <c r="H24" i="3"/>
  <c r="H25" i="3"/>
  <c r="H27" i="3"/>
  <c r="H29" i="3"/>
  <c r="H30" i="3"/>
  <c r="H33" i="3"/>
  <c r="H35" i="3"/>
  <c r="H37" i="3"/>
  <c r="H41" i="3"/>
  <c r="H42" i="3"/>
  <c r="H45" i="3"/>
  <c r="H46" i="3"/>
  <c r="H51" i="3"/>
  <c r="H52" i="3"/>
  <c r="H53" i="3"/>
  <c r="H54" i="3"/>
  <c r="H63" i="3"/>
  <c r="H70" i="3"/>
  <c r="H72" i="3"/>
  <c r="H76" i="3"/>
  <c r="H77" i="3"/>
  <c r="H81" i="3"/>
  <c r="H4" i="3"/>
  <c r="H2" i="3" l="1"/>
  <c r="B1" i="39" l="1"/>
  <c r="A1" i="8"/>
  <c r="L371" i="5"/>
  <c r="L355" i="5"/>
  <c r="L283" i="5"/>
  <c r="L221" i="5"/>
  <c r="L183" i="5"/>
  <c r="L171" i="5"/>
  <c r="L102" i="5"/>
  <c r="L67" i="5"/>
  <c r="L32" i="5"/>
  <c r="L27" i="5"/>
  <c r="L18" i="5"/>
  <c r="L64" i="5" l="1"/>
  <c r="L110" i="5"/>
  <c r="L237" i="5"/>
  <c r="L242" i="5"/>
  <c r="L59" i="5"/>
  <c r="L232" i="5"/>
  <c r="L323" i="5"/>
  <c r="L339" i="5"/>
  <c r="L33" i="5"/>
  <c r="L15" i="5"/>
  <c r="L39" i="5"/>
  <c r="L166" i="5"/>
  <c r="L215" i="5"/>
  <c r="L148" i="5"/>
  <c r="L228" i="5"/>
  <c r="L11" i="5"/>
  <c r="L22" i="5"/>
  <c r="L48" i="5"/>
  <c r="L71" i="5"/>
  <c r="L89" i="5"/>
  <c r="L133" i="5"/>
  <c r="L162" i="5"/>
  <c r="L199" i="5"/>
  <c r="L254" i="5"/>
  <c r="L260" i="5"/>
  <c r="L266" i="5"/>
  <c r="L274" i="5"/>
  <c r="L277" i="5"/>
  <c r="L306" i="5"/>
  <c r="L331" i="5"/>
  <c r="L319" i="5"/>
  <c r="L346" i="5"/>
  <c r="L119" i="5"/>
  <c r="L139" i="5"/>
  <c r="L156" i="5"/>
  <c r="L179" i="5"/>
  <c r="L192" i="5"/>
  <c r="L291" i="5"/>
  <c r="L330" i="5"/>
  <c r="L364" i="5"/>
  <c r="L368" i="5"/>
  <c r="L372" i="5" l="1"/>
  <c r="L184" i="5"/>
  <c r="L92" i="5"/>
  <c r="L193" i="5"/>
  <c r="L308" i="5"/>
  <c r="L324" i="5"/>
  <c r="L74" i="5"/>
  <c r="L19" i="5"/>
  <c r="L51" i="5"/>
  <c r="L245" i="5"/>
  <c r="L278" i="5"/>
  <c r="L167" i="5"/>
  <c r="L172" i="5"/>
  <c r="L140" i="5"/>
  <c r="L365" i="5"/>
  <c r="L157" i="5"/>
  <c r="L76" i="5" l="1"/>
  <c r="L373" i="5"/>
  <c r="L173" i="5"/>
  <c r="L23" i="5"/>
  <c r="L279" i="5"/>
  <c r="L93" i="5" l="1"/>
  <c r="L376" i="5"/>
  <c r="L298" i="5" s="1"/>
  <c r="L387" i="5" l="1"/>
  <c r="L299" i="5" l="1"/>
  <c r="L302" i="5" s="1"/>
  <c r="L309" i="5" s="1"/>
  <c r="L310" i="5" s="1"/>
  <c r="G248" i="40" l="1"/>
  <c r="D8" i="40" l="1"/>
  <c r="D7" i="40"/>
  <c r="D10" i="40" l="1"/>
  <c r="G16" i="8"/>
  <c r="D299" i="40" s="1"/>
  <c r="G14" i="8"/>
  <c r="G22" i="8" l="1"/>
  <c r="G28" i="8"/>
  <c r="G12" i="8"/>
  <c r="G30" i="8" l="1"/>
  <c r="G10" i="7"/>
  <c r="F54" i="39" l="1"/>
  <c r="F6" i="34"/>
  <c r="D12" i="40"/>
  <c r="D11" i="40"/>
  <c r="D336" i="40"/>
  <c r="D339" i="40" s="1"/>
  <c r="G33" i="8"/>
  <c r="M387" i="5"/>
  <c r="D344" i="40" l="1"/>
  <c r="D345" i="40" s="1"/>
  <c r="L77" i="7"/>
  <c r="L22" i="8"/>
  <c r="L126" i="7"/>
  <c r="L55" i="7"/>
  <c r="L19" i="7" l="1"/>
  <c r="L91" i="7"/>
  <c r="L66" i="7"/>
  <c r="L28" i="8"/>
  <c r="L58" i="7"/>
  <c r="L52" i="7"/>
  <c r="L107" i="7"/>
  <c r="L42" i="7"/>
  <c r="L14" i="7"/>
  <c r="L144" i="7"/>
  <c r="L33" i="7"/>
  <c r="L70" i="7"/>
  <c r="L12" i="8"/>
  <c r="L14" i="8"/>
  <c r="L8" i="7" l="1"/>
  <c r="L10" i="7"/>
  <c r="L89" i="7"/>
  <c r="L29" i="7"/>
  <c r="L62" i="7"/>
  <c r="L51" i="7"/>
  <c r="L30" i="8"/>
  <c r="F64" i="34" l="1"/>
  <c r="L40" i="7"/>
  <c r="L84" i="7"/>
  <c r="L33" i="8"/>
  <c r="L6" i="8" s="1"/>
  <c r="O299" i="5" l="1"/>
  <c r="N295" i="5"/>
  <c r="F139" i="7" s="1"/>
  <c r="O302" i="5"/>
  <c r="L138" i="7"/>
  <c r="L125" i="7"/>
  <c r="N299" i="5" l="1"/>
  <c r="N302" i="5" s="1"/>
  <c r="F138" i="7"/>
  <c r="O309" i="5"/>
  <c r="L123" i="7"/>
  <c r="CL7" i="34" l="1"/>
  <c r="B7" i="34" s="1"/>
  <c r="J138" i="7"/>
  <c r="N309" i="5"/>
  <c r="F125" i="7"/>
  <c r="J125" i="7" s="1"/>
  <c r="N310" i="5" l="1"/>
  <c r="F123" i="7"/>
  <c r="J123" i="7" s="1"/>
  <c r="O310" i="5"/>
  <c r="M2" i="5"/>
  <c r="O386" i="5"/>
  <c r="L148" i="7"/>
  <c r="L149" i="7"/>
  <c r="F148" i="7" l="1"/>
  <c r="N386" i="5"/>
  <c r="N2" i="5"/>
  <c r="L5" i="7"/>
  <c r="M386" i="5"/>
  <c r="J149" i="7" l="1"/>
  <c r="J148" i="7"/>
  <c r="J5" i="7" l="1"/>
  <c r="L126" i="5" l="1"/>
  <c r="L127" i="5" l="1"/>
  <c r="G138" i="7"/>
  <c r="CL6" i="34" s="1"/>
  <c r="G123" i="7"/>
  <c r="C190" i="40" s="1"/>
  <c r="C191" i="40" s="1"/>
  <c r="G17" i="7"/>
  <c r="F247" i="40" l="1"/>
  <c r="F250" i="40" s="1"/>
  <c r="F251" i="40" s="1"/>
  <c r="A17" i="7"/>
  <c r="A138" i="7"/>
  <c r="L158" i="5"/>
  <c r="A123" i="7"/>
  <c r="G40" i="7"/>
  <c r="G148" i="7"/>
  <c r="G21" i="7"/>
  <c r="K6" i="34" s="1"/>
  <c r="G22" i="7"/>
  <c r="L6" i="34" s="1"/>
  <c r="A126" i="7"/>
  <c r="G52" i="7"/>
  <c r="G144" i="7"/>
  <c r="G66" i="7"/>
  <c r="G33" i="7"/>
  <c r="G19" i="7"/>
  <c r="G14" i="7"/>
  <c r="G91" i="7"/>
  <c r="G70" i="7"/>
  <c r="G58" i="7"/>
  <c r="G55" i="7"/>
  <c r="G107" i="7"/>
  <c r="G75" i="7"/>
  <c r="AT6" i="34" s="1"/>
  <c r="G29" i="7"/>
  <c r="G51" i="7"/>
  <c r="G89" i="7"/>
  <c r="G62" i="7"/>
  <c r="H68" i="40" s="1"/>
  <c r="G43" i="7"/>
  <c r="Y6" i="34" s="1"/>
  <c r="G128" i="7"/>
  <c r="G80" i="7"/>
  <c r="AW6" i="34" s="1"/>
  <c r="G110" i="7"/>
  <c r="G92" i="7"/>
  <c r="BA6" i="34" s="1"/>
  <c r="G79" i="7"/>
  <c r="AV6" i="34" s="1"/>
  <c r="G100" i="7"/>
  <c r="BI6" i="34" s="1"/>
  <c r="G135" i="7"/>
  <c r="G12" i="7"/>
  <c r="G132" i="7"/>
  <c r="G145" i="7"/>
  <c r="G49" i="7"/>
  <c r="AE6" i="34" s="1"/>
  <c r="G105" i="7"/>
  <c r="G27" i="7"/>
  <c r="Q6" i="34" s="1"/>
  <c r="G56" i="7"/>
  <c r="AH6" i="34" s="1"/>
  <c r="G72" i="7"/>
  <c r="AQ6" i="34" s="1"/>
  <c r="G23" i="7"/>
  <c r="M6" i="34" s="1"/>
  <c r="G94" i="7"/>
  <c r="BC6" i="34" s="1"/>
  <c r="G130" i="7"/>
  <c r="G99" i="7"/>
  <c r="BH6" i="34" s="1"/>
  <c r="G73" i="7"/>
  <c r="AR6" i="34" s="1"/>
  <c r="G26" i="7"/>
  <c r="P6" i="34" s="1"/>
  <c r="G137" i="7"/>
  <c r="G38" i="7"/>
  <c r="X6" i="34" s="1"/>
  <c r="G113" i="7"/>
  <c r="BT6" i="34" s="1"/>
  <c r="G45" i="7"/>
  <c r="AA6" i="34" s="1"/>
  <c r="G103" i="7"/>
  <c r="G114" i="7"/>
  <c r="BU6" i="34" s="1"/>
  <c r="G120" i="7"/>
  <c r="G119" i="7"/>
  <c r="G44" i="7"/>
  <c r="Z6" i="34" s="1"/>
  <c r="G35" i="7"/>
  <c r="U6" i="34" s="1"/>
  <c r="G63" i="7"/>
  <c r="AL6" i="34" s="1"/>
  <c r="G71" i="7"/>
  <c r="AP6" i="34" s="1"/>
  <c r="G21" i="8"/>
  <c r="G101" i="7"/>
  <c r="G102" i="7"/>
  <c r="G140" i="7"/>
  <c r="G34" i="7"/>
  <c r="T6" i="34" s="1"/>
  <c r="G53" i="7"/>
  <c r="AF6" i="34" s="1"/>
  <c r="G111" i="7"/>
  <c r="G96" i="7"/>
  <c r="BE6" i="34" s="1"/>
  <c r="G141" i="7"/>
  <c r="G30" i="7"/>
  <c r="R6" i="34" s="1"/>
  <c r="G57" i="7"/>
  <c r="AI6" i="34" s="1"/>
  <c r="G8" i="8"/>
  <c r="G95" i="7"/>
  <c r="G78" i="7"/>
  <c r="AU6" i="34" s="1"/>
  <c r="G54" i="7"/>
  <c r="AG6" i="34" s="1"/>
  <c r="G109" i="7"/>
  <c r="G68" i="7"/>
  <c r="AO6" i="34" s="1"/>
  <c r="G98" i="7"/>
  <c r="G147" i="7"/>
  <c r="G116" i="7"/>
  <c r="G46" i="7"/>
  <c r="AB6" i="34" s="1"/>
  <c r="G108" i="7"/>
  <c r="G47" i="7"/>
  <c r="AC6" i="34" s="1"/>
  <c r="G97" i="7"/>
  <c r="G15" i="7"/>
  <c r="G77" i="7"/>
  <c r="G24" i="7"/>
  <c r="N6" i="34" s="1"/>
  <c r="G31" i="7"/>
  <c r="S6" i="34" s="1"/>
  <c r="G115" i="7"/>
  <c r="G67" i="7"/>
  <c r="AN6" i="34" s="1"/>
  <c r="G11" i="7"/>
  <c r="G136" i="7"/>
  <c r="G143" i="7"/>
  <c r="G134" i="7"/>
  <c r="G42" i="7"/>
  <c r="G64" i="7"/>
  <c r="AM6" i="34" s="1"/>
  <c r="G146" i="7"/>
  <c r="G112" i="7"/>
  <c r="G118" i="7"/>
  <c r="G37" i="7"/>
  <c r="W6" i="34" s="1"/>
  <c r="G16" i="7"/>
  <c r="G25" i="7"/>
  <c r="O6" i="34" s="1"/>
  <c r="G117" i="7"/>
  <c r="G82" i="7"/>
  <c r="AY6" i="34" s="1"/>
  <c r="G59" i="7"/>
  <c r="AJ6" i="34" s="1"/>
  <c r="G129" i="7"/>
  <c r="G133" i="7"/>
  <c r="G74" i="7"/>
  <c r="AS6" i="34" s="1"/>
  <c r="G142" i="7"/>
  <c r="G48" i="7"/>
  <c r="AD6" i="34" s="1"/>
  <c r="G104" i="7"/>
  <c r="G20" i="7"/>
  <c r="J6" i="34" s="1"/>
  <c r="G8" i="7"/>
  <c r="G125" i="7"/>
  <c r="G247" i="40" s="1"/>
  <c r="G250" i="40" s="1"/>
  <c r="G251" i="40" s="1"/>
  <c r="G93" i="7"/>
  <c r="BB6" i="34" s="1"/>
  <c r="G139" i="7"/>
  <c r="G36" i="7"/>
  <c r="V6" i="34" s="1"/>
  <c r="G84" i="7"/>
  <c r="G60" i="7"/>
  <c r="AK6" i="34" s="1"/>
  <c r="G81" i="7"/>
  <c r="AX6" i="34" s="1"/>
  <c r="D191" i="40" l="1"/>
  <c r="BV6" i="34"/>
  <c r="C157" i="40"/>
  <c r="BJ6" i="34"/>
  <c r="D39" i="40"/>
  <c r="E360" i="40"/>
  <c r="H62" i="40"/>
  <c r="D213" i="40"/>
  <c r="D214" i="40" s="1"/>
  <c r="D216" i="40" s="1"/>
  <c r="D140" i="40"/>
  <c r="D141" i="40" s="1"/>
  <c r="D119" i="40"/>
  <c r="D120" i="40" s="1"/>
  <c r="E121" i="40"/>
  <c r="H56" i="40"/>
  <c r="D282" i="40"/>
  <c r="A133" i="7"/>
  <c r="A118" i="7"/>
  <c r="A109" i="7"/>
  <c r="A141" i="7"/>
  <c r="A103" i="7"/>
  <c r="A130" i="7"/>
  <c r="A107" i="7"/>
  <c r="A66" i="7"/>
  <c r="A129" i="7"/>
  <c r="A112" i="7"/>
  <c r="A132" i="7"/>
  <c r="A128" i="7"/>
  <c r="A144" i="7"/>
  <c r="A146" i="7"/>
  <c r="A115" i="7"/>
  <c r="A111" i="7"/>
  <c r="A12" i="7"/>
  <c r="A116" i="7"/>
  <c r="A135" i="7"/>
  <c r="A70" i="7"/>
  <c r="A104" i="7"/>
  <c r="A117" i="7"/>
  <c r="A42" i="7"/>
  <c r="A95" i="7"/>
  <c r="A137" i="7"/>
  <c r="A91" i="7"/>
  <c r="A134" i="7"/>
  <c r="A127" i="7"/>
  <c r="A140" i="7"/>
  <c r="A119" i="7"/>
  <c r="A14" i="7"/>
  <c r="A142" i="7"/>
  <c r="A16" i="7"/>
  <c r="A98" i="7"/>
  <c r="A102" i="7"/>
  <c r="A120" i="7"/>
  <c r="A105" i="7"/>
  <c r="A29" i="7"/>
  <c r="A77" i="7"/>
  <c r="A136" i="7"/>
  <c r="A97" i="7"/>
  <c r="A101" i="7"/>
  <c r="A110" i="7"/>
  <c r="A33" i="7"/>
  <c r="A24" i="7"/>
  <c r="A44" i="7"/>
  <c r="A22" i="7"/>
  <c r="A48" i="7"/>
  <c r="A26" i="7"/>
  <c r="A27" i="7"/>
  <c r="A79" i="7"/>
  <c r="A21" i="7"/>
  <c r="A73" i="7"/>
  <c r="A36" i="7"/>
  <c r="A74" i="7"/>
  <c r="A37" i="7"/>
  <c r="A68" i="7"/>
  <c r="A114" i="7"/>
  <c r="A99" i="7"/>
  <c r="A49" i="7"/>
  <c r="A75" i="7"/>
  <c r="A93" i="7"/>
  <c r="A47" i="7"/>
  <c r="A80" i="7"/>
  <c r="A131" i="7"/>
  <c r="A45" i="7"/>
  <c r="A46" i="7"/>
  <c r="A113" i="7"/>
  <c r="A23" i="7"/>
  <c r="A81" i="7"/>
  <c r="D20" i="40"/>
  <c r="A82" i="7"/>
  <c r="A31" i="7"/>
  <c r="A35" i="7"/>
  <c r="A38" i="7"/>
  <c r="A72" i="7"/>
  <c r="A96" i="7"/>
  <c r="A25" i="7"/>
  <c r="D31" i="40"/>
  <c r="A62" i="7"/>
  <c r="L200" i="5"/>
  <c r="A100" i="7"/>
  <c r="A94" i="7"/>
  <c r="A19" i="7"/>
  <c r="K22" i="8"/>
  <c r="K51" i="7"/>
  <c r="A139" i="7"/>
  <c r="K138" i="7"/>
  <c r="K66" i="7"/>
  <c r="A67" i="7"/>
  <c r="K107" i="7"/>
  <c r="A108" i="7"/>
  <c r="K12" i="8"/>
  <c r="K33" i="7"/>
  <c r="A34" i="7"/>
  <c r="K144" i="7"/>
  <c r="A145" i="7"/>
  <c r="K89" i="7"/>
  <c r="A89" i="7"/>
  <c r="A10" i="7"/>
  <c r="K28" i="8"/>
  <c r="A148" i="7"/>
  <c r="K148" i="7"/>
  <c r="K149" i="7"/>
  <c r="K19" i="7"/>
  <c r="A20" i="7"/>
  <c r="K14" i="7"/>
  <c r="A15" i="7"/>
  <c r="K70" i="7"/>
  <c r="A71" i="7"/>
  <c r="K33" i="8"/>
  <c r="K126" i="7"/>
  <c r="K40" i="7"/>
  <c r="A40" i="7"/>
  <c r="K84" i="7"/>
  <c r="A84" i="7"/>
  <c r="A125" i="7"/>
  <c r="K125" i="7"/>
  <c r="K77" i="7"/>
  <c r="A78" i="7"/>
  <c r="K29" i="7"/>
  <c r="A30" i="7"/>
  <c r="K62" i="7"/>
  <c r="A63" i="7"/>
  <c r="K91" i="7"/>
  <c r="A92" i="7"/>
  <c r="K42" i="7"/>
  <c r="A43" i="7"/>
  <c r="K14" i="8"/>
  <c r="K123" i="7"/>
  <c r="K8" i="7"/>
  <c r="A8" i="7"/>
  <c r="K58" i="7"/>
  <c r="A59" i="7"/>
  <c r="K10" i="7"/>
  <c r="A11" i="7"/>
  <c r="K52" i="7"/>
  <c r="A53" i="7"/>
  <c r="K55" i="7"/>
  <c r="K30" i="8"/>
  <c r="B6" i="34" l="1"/>
  <c r="E20" i="39"/>
  <c r="E34" i="39"/>
  <c r="E35" i="39"/>
  <c r="E27" i="39"/>
  <c r="E43" i="39"/>
  <c r="E52" i="39"/>
  <c r="E36" i="39"/>
  <c r="E46" i="39"/>
  <c r="E18" i="39"/>
  <c r="E11" i="39"/>
  <c r="E24" i="39"/>
  <c r="E12" i="39"/>
  <c r="E38" i="39"/>
  <c r="E51" i="39"/>
  <c r="G51" i="39" s="1"/>
  <c r="D215" i="40"/>
  <c r="D142" i="40"/>
  <c r="D143" i="40"/>
  <c r="F121" i="40"/>
  <c r="F132" i="40" s="1"/>
  <c r="E132" i="40"/>
  <c r="K6" i="8"/>
  <c r="L201" i="5"/>
  <c r="L386" i="5" s="1"/>
  <c r="F8" i="34"/>
  <c r="AN8" i="34"/>
  <c r="AN67" i="34" s="1"/>
  <c r="AX8" i="34"/>
  <c r="AX67" i="34" s="1"/>
  <c r="Z8" i="34"/>
  <c r="Z67" i="34" s="1"/>
  <c r="BC8" i="34"/>
  <c r="BC26" i="34" s="1"/>
  <c r="AC8" i="34"/>
  <c r="AC67" i="34" s="1"/>
  <c r="AW8" i="34"/>
  <c r="AW67" i="34" s="1"/>
  <c r="R8" i="34"/>
  <c r="R67" i="34" s="1"/>
  <c r="AD8" i="34"/>
  <c r="BI8" i="34"/>
  <c r="BI67" i="34" s="1"/>
  <c r="N8" i="34"/>
  <c r="N3" i="34" s="1"/>
  <c r="K8" i="34"/>
  <c r="J8" i="34"/>
  <c r="P8" i="34"/>
  <c r="P67" i="34" s="1"/>
  <c r="AT8" i="34"/>
  <c r="AT67" i="34" s="1"/>
  <c r="V8" i="34"/>
  <c r="AM8" i="34"/>
  <c r="CE8" i="34"/>
  <c r="CE67" i="34" s="1"/>
  <c r="BH8" i="34"/>
  <c r="BH67" i="34" s="1"/>
  <c r="AO8" i="34"/>
  <c r="AL8" i="34"/>
  <c r="Q8" i="34"/>
  <c r="Q67" i="34" s="1"/>
  <c r="X8" i="34"/>
  <c r="X67" i="34" s="1"/>
  <c r="W8" i="34"/>
  <c r="W67" i="34" s="1"/>
  <c r="U8" i="34"/>
  <c r="U67" i="34" s="1"/>
  <c r="S8" i="34"/>
  <c r="S67" i="34" s="1"/>
  <c r="AK8" i="34"/>
  <c r="AK67" i="34" s="1"/>
  <c r="T8" i="34"/>
  <c r="T67" i="34" s="1"/>
  <c r="AQ8" i="34"/>
  <c r="AQ67" i="34" s="1"/>
  <c r="O8" i="34"/>
  <c r="O67" i="34" s="1"/>
  <c r="CC8" i="34"/>
  <c r="CC67" i="34" s="1"/>
  <c r="K5" i="7"/>
  <c r="AE8" i="34"/>
  <c r="AE67" i="34" s="1"/>
  <c r="AG8" i="34"/>
  <c r="AG67" i="34" s="1"/>
  <c r="Y8" i="34"/>
  <c r="Y67" i="34" s="1"/>
  <c r="AS8" i="34"/>
  <c r="AS67" i="34" s="1"/>
  <c r="AP8" i="34"/>
  <c r="AP67" i="34" s="1"/>
  <c r="CL8" i="34"/>
  <c r="CL67" i="34" s="1"/>
  <c r="AF8" i="34"/>
  <c r="AF67" i="34" s="1"/>
  <c r="AA8" i="34"/>
  <c r="AA67" i="34" s="1"/>
  <c r="AR8" i="34"/>
  <c r="AR67" i="34" s="1"/>
  <c r="BA8" i="34"/>
  <c r="BA67" i="34" s="1"/>
  <c r="BU8" i="34"/>
  <c r="BT8" i="34"/>
  <c r="BT67" i="34" s="1"/>
  <c r="AI8" i="34"/>
  <c r="AI67" i="34" s="1"/>
  <c r="AU8" i="34"/>
  <c r="AU67" i="34" s="1"/>
  <c r="M8" i="34"/>
  <c r="M3" i="34" s="1"/>
  <c r="BE8" i="34"/>
  <c r="BE26" i="34" s="1"/>
  <c r="BB8" i="34"/>
  <c r="AV8" i="34"/>
  <c r="AV67" i="34" s="1"/>
  <c r="AJ8" i="34"/>
  <c r="AJ67" i="34" s="1"/>
  <c r="L8" i="34"/>
  <c r="L3" i="34" s="1"/>
  <c r="AB8" i="34"/>
  <c r="AB67" i="34" s="1"/>
  <c r="AH8" i="34"/>
  <c r="AH67" i="34" s="1"/>
  <c r="AY8" i="34"/>
  <c r="AY67" i="34" s="1"/>
  <c r="BU26" i="34" l="1"/>
  <c r="BU67" i="34" s="1"/>
  <c r="BU3" i="34" s="1"/>
  <c r="BE67" i="34"/>
  <c r="BE3" i="34" s="1"/>
  <c r="BC67" i="34"/>
  <c r="BC3" i="34" s="1"/>
  <c r="BB26" i="34"/>
  <c r="BB67" i="34" s="1"/>
  <c r="BB3" i="34" s="1"/>
  <c r="V24" i="34"/>
  <c r="V67" i="34" s="1"/>
  <c r="V3" i="34" s="1"/>
  <c r="J24" i="34"/>
  <c r="J67" i="34" s="1"/>
  <c r="J3" i="34" s="1"/>
  <c r="AD43" i="34"/>
  <c r="F43" i="34" s="1"/>
  <c r="B43" i="34" s="1"/>
  <c r="AO39" i="34"/>
  <c r="AO67" i="34" s="1"/>
  <c r="AO3" i="34" s="1"/>
  <c r="AL67" i="34"/>
  <c r="AM15" i="34"/>
  <c r="AM67" i="34" s="1"/>
  <c r="AM3" i="34" s="1"/>
  <c r="AH3" i="34"/>
  <c r="AV3" i="34"/>
  <c r="AU3" i="34"/>
  <c r="AB3" i="34"/>
  <c r="AI3" i="34"/>
  <c r="BT3" i="34"/>
  <c r="AA3" i="34"/>
  <c r="AS3" i="34"/>
  <c r="T3" i="34"/>
  <c r="W3" i="34"/>
  <c r="R3" i="34"/>
  <c r="Z3" i="34"/>
  <c r="AR3" i="34"/>
  <c r="AP3" i="34"/>
  <c r="AE3" i="34"/>
  <c r="AQ3" i="34"/>
  <c r="AY3" i="34"/>
  <c r="AJ3" i="34"/>
  <c r="AF3" i="34"/>
  <c r="Y3" i="34"/>
  <c r="CC3" i="34"/>
  <c r="X3" i="34"/>
  <c r="BH3" i="34"/>
  <c r="AT3" i="34"/>
  <c r="AW3" i="34"/>
  <c r="AX3" i="34"/>
  <c r="S3" i="34"/>
  <c r="Q3" i="34"/>
  <c r="CE3" i="34"/>
  <c r="P3" i="34"/>
  <c r="AC3" i="34"/>
  <c r="AN3" i="34"/>
  <c r="E25" i="39"/>
  <c r="E26" i="39"/>
  <c r="E13" i="39"/>
  <c r="E10" i="39"/>
  <c r="AK3" i="34"/>
  <c r="BK8" i="34"/>
  <c r="F56" i="34"/>
  <c r="CI8" i="34"/>
  <c r="CQ7" i="34"/>
  <c r="CQ6" i="34"/>
  <c r="CA8" i="34"/>
  <c r="CD8" i="34"/>
  <c r="BO8" i="34"/>
  <c r="BV8" i="34"/>
  <c r="BF8" i="34"/>
  <c r="CJ8" i="34"/>
  <c r="CK8" i="34"/>
  <c r="CF8" i="34"/>
  <c r="CG8" i="34"/>
  <c r="BQ8" i="34"/>
  <c r="BR8" i="34"/>
  <c r="BJ8" i="34"/>
  <c r="BW8" i="34"/>
  <c r="BL8" i="34"/>
  <c r="BZ8" i="34"/>
  <c r="BD8" i="34"/>
  <c r="BS8" i="34"/>
  <c r="BM8" i="34"/>
  <c r="BG8" i="34"/>
  <c r="BN8" i="34"/>
  <c r="BY8" i="34"/>
  <c r="BX8" i="34"/>
  <c r="CH8" i="34"/>
  <c r="BP8" i="34"/>
  <c r="F13" i="34"/>
  <c r="O3" i="34"/>
  <c r="U3" i="34"/>
  <c r="BX67" i="34" l="1"/>
  <c r="BX3" i="34" s="1"/>
  <c r="BL67" i="34"/>
  <c r="BL3" i="34" s="1"/>
  <c r="CJ67" i="34"/>
  <c r="CJ3" i="34" s="1"/>
  <c r="BY67" i="34"/>
  <c r="BY3" i="34" s="1"/>
  <c r="BW67" i="34"/>
  <c r="BW3" i="34" s="1"/>
  <c r="BF67" i="34"/>
  <c r="BF3" i="34" s="1"/>
  <c r="BP67" i="34"/>
  <c r="BP3" i="34" s="1"/>
  <c r="BN67" i="34"/>
  <c r="BN3" i="34" s="1"/>
  <c r="BD67" i="34"/>
  <c r="BD3" i="34" s="1"/>
  <c r="CF67" i="34"/>
  <c r="CF3" i="34" s="1"/>
  <c r="BK67" i="34"/>
  <c r="BK3" i="34" s="1"/>
  <c r="BS67" i="34"/>
  <c r="BS3" i="34" s="1"/>
  <c r="CG67" i="34"/>
  <c r="CG3" i="34" s="1"/>
  <c r="CA67" i="34"/>
  <c r="CA3" i="34" s="1"/>
  <c r="CH67" i="34"/>
  <c r="CH3" i="34" s="1"/>
  <c r="BG67" i="34"/>
  <c r="BG3" i="34" s="1"/>
  <c r="BZ67" i="34"/>
  <c r="BZ3" i="34" s="1"/>
  <c r="BR67" i="34"/>
  <c r="BR3" i="34" s="1"/>
  <c r="CK67" i="34"/>
  <c r="CK3" i="34" s="1"/>
  <c r="BO67" i="34"/>
  <c r="BO3" i="34" s="1"/>
  <c r="BM67" i="34"/>
  <c r="BM3" i="34" s="1"/>
  <c r="BQ67" i="34"/>
  <c r="BQ3" i="34" s="1"/>
  <c r="CD67" i="34"/>
  <c r="CD3" i="34" s="1"/>
  <c r="CI67" i="34"/>
  <c r="CI3" i="34" s="1"/>
  <c r="F26" i="34"/>
  <c r="E19" i="39" s="1"/>
  <c r="F39" i="34"/>
  <c r="F50" i="34" s="1"/>
  <c r="E40" i="39" s="1"/>
  <c r="BV55" i="34"/>
  <c r="BV67" i="34" s="1"/>
  <c r="BV3" i="34" s="1"/>
  <c r="BJ55" i="34"/>
  <c r="A43" i="34"/>
  <c r="E37" i="39"/>
  <c r="AD67" i="34"/>
  <c r="AD3" i="34" s="1"/>
  <c r="E7" i="39"/>
  <c r="I7" i="39" s="1"/>
  <c r="A13" i="34"/>
  <c r="F15" i="34"/>
  <c r="E45" i="39"/>
  <c r="AG3" i="34"/>
  <c r="BI3" i="34"/>
  <c r="AL3" i="34"/>
  <c r="BA3" i="34"/>
  <c r="CL3" i="34"/>
  <c r="F24" i="34"/>
  <c r="E17" i="39" s="1"/>
  <c r="E33" i="39" l="1"/>
  <c r="I40" i="39" s="1"/>
  <c r="B39" i="34"/>
  <c r="A39" i="34" s="1"/>
  <c r="F55" i="34"/>
  <c r="F60" i="34" s="1"/>
  <c r="E48" i="39" s="1"/>
  <c r="BJ67" i="34"/>
  <c r="BJ3" i="34" s="1"/>
  <c r="E9" i="39"/>
  <c r="A15" i="34"/>
  <c r="A7" i="39"/>
  <c r="A8" i="39" s="1"/>
  <c r="F22" i="34"/>
  <c r="E15" i="39" s="1"/>
  <c r="E44" i="39" l="1"/>
  <c r="I48" i="39" s="1"/>
  <c r="B55" i="34"/>
  <c r="A55" i="34" s="1"/>
  <c r="A9" i="39"/>
  <c r="A10" i="39" s="1"/>
  <c r="A11" i="39" s="1"/>
  <c r="A12" i="39" s="1"/>
  <c r="A13" i="39" s="1"/>
  <c r="A14" i="39" s="1"/>
  <c r="A15" i="39" s="1"/>
  <c r="A16" i="39" s="1"/>
  <c r="A17" i="39" s="1"/>
  <c r="A18" i="39" s="1"/>
  <c r="A19" i="39" s="1"/>
  <c r="A20" i="39" s="1"/>
  <c r="A21" i="39" s="1"/>
  <c r="I15" i="39"/>
  <c r="F30" i="34"/>
  <c r="F36" i="34" s="1"/>
  <c r="F62" i="34" s="1"/>
  <c r="E50" i="39" s="1"/>
  <c r="E22" i="39"/>
  <c r="I22" i="39" l="1"/>
  <c r="E29" i="39"/>
  <c r="A22" i="39"/>
  <c r="A23" i="39" s="1"/>
  <c r="A24" i="39" s="1"/>
  <c r="A25" i="39" s="1"/>
  <c r="F66" i="34"/>
  <c r="F67" i="34" s="1"/>
  <c r="F3" i="34" s="1"/>
  <c r="I29" i="39" l="1"/>
  <c r="A29" i="39"/>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E53" i="39"/>
  <c r="E54" i="39" s="1"/>
  <c r="A53" i="39" l="1"/>
  <c r="A54" i="39" l="1"/>
  <c r="C92" i="40" l="1"/>
  <c r="D92" i="40" s="1"/>
  <c r="C95" i="40" l="1"/>
  <c r="D95" i="40" l="1"/>
  <c r="C106" i="40"/>
  <c r="C96" i="40"/>
</calcChain>
</file>

<file path=xl/comments1.xml><?xml version="1.0" encoding="utf-8"?>
<comments xmlns="http://schemas.openxmlformats.org/spreadsheetml/2006/main">
  <authors>
    <author>Ngo Sy Thuyen</author>
    <author>Nguyen, Minh Nhat</author>
  </authors>
  <commentList>
    <comment ref="D31" authorId="0" shapeId="0">
      <text>
        <r>
          <rPr>
            <b/>
            <sz val="9"/>
            <color indexed="81"/>
            <rFont val="Tahoma"/>
            <family val="2"/>
          </rPr>
          <t>Ngo Sy Thuyen:</t>
        </r>
        <r>
          <rPr>
            <sz val="9"/>
            <color indexed="81"/>
            <rFont val="Tahoma"/>
            <family val="2"/>
          </rPr>
          <t xml:space="preserve">
Chỉ tiêu này được lập căn cứ vào tổng số tiền lãi vay đã trả trong kỳ báo cáo, bao gồm tiền lãi vay phát sinh trong kỳ và trả ngay kỳ này, tiền lãi vay phải trả của các kỳ trước đã trả trong kỳ này, lãi tiền vay trả trước trong kỳ này.
Chỉ tiêu này không bao gồm số tiền lãi vay đã trả trong kỳ được vốn hóa vào giá trị các tài sản dở dang được phân loại là luồng tiền từ hoạt động đầu tư. Trường hợp số lãi vay đã trả trong kỳ vừa được vốn hóa, vừa được tính vào chi phí tài chính thì kế toán căn cứ tỷ lệ vốn hóa lãi vay áp dụng cho kỳ báo cáo theo quy định của Chuẩn mực kế toán “Chi phí đi vay” để xác định số lãi vay đã trả của luồng tiền từ hoạt động kinh doanh và luồng tiền hoạt động đầu tư.
</t>
        </r>
      </text>
    </comment>
    <comment ref="AC48" authorId="1" shapeId="0">
      <text>
        <r>
          <rPr>
            <b/>
            <sz val="9"/>
            <color indexed="81"/>
            <rFont val="Tahoma"/>
            <family val="2"/>
          </rPr>
          <t xml:space="preserve">58,400,000,000 transferred from interest receivables
</t>
        </r>
      </text>
    </comment>
  </commentList>
</comments>
</file>

<file path=xl/sharedStrings.xml><?xml version="1.0" encoding="utf-8"?>
<sst xmlns="http://schemas.openxmlformats.org/spreadsheetml/2006/main" count="2107" uniqueCount="1122">
  <si>
    <t>CODE</t>
  </si>
  <si>
    <t>EN DESCRIPTION</t>
  </si>
  <si>
    <t>VN DESCRIPTION</t>
  </si>
  <si>
    <t>OPENING BALANCE</t>
  </si>
  <si>
    <t>Cash</t>
  </si>
  <si>
    <t>Cash equivalents</t>
  </si>
  <si>
    <t>Cash and cash equivalents</t>
  </si>
  <si>
    <t>Short-term financial investments</t>
  </si>
  <si>
    <t xml:space="preserve">Trading securities </t>
  </si>
  <si>
    <t>Allowance for diminution in the value of trading securities</t>
  </si>
  <si>
    <t>Held-to-maturity investments</t>
  </si>
  <si>
    <t>Accounts receivable – short-term</t>
  </si>
  <si>
    <t>Accounts receivable from customers</t>
  </si>
  <si>
    <t>Prepayments to suppliers</t>
  </si>
  <si>
    <t>Intra-company receivables</t>
  </si>
  <si>
    <t>Receivables on construction contracts according to stages of completion</t>
  </si>
  <si>
    <t>Loans receivable</t>
  </si>
  <si>
    <t>Other receivables</t>
  </si>
  <si>
    <t>Allowance for doubtful debts</t>
  </si>
  <si>
    <t>Shortage of assets awaiting resolution</t>
  </si>
  <si>
    <t>Inventories</t>
  </si>
  <si>
    <t>Allowance for inventories</t>
  </si>
  <si>
    <t>Other current assets</t>
  </si>
  <si>
    <t>Short-term prepaid expenses</t>
  </si>
  <si>
    <t>Deductible value added tax</t>
  </si>
  <si>
    <t>Taxes and other receivables from State Treasury</t>
  </si>
  <si>
    <t>Government bonds under purchase and resale agreements</t>
  </si>
  <si>
    <t>Long-term assets</t>
  </si>
  <si>
    <t>Accounts receivable – long-term</t>
  </si>
  <si>
    <t>Accounts receivable from customers – long-term</t>
  </si>
  <si>
    <t>Prepayments to suppliers – long-term</t>
  </si>
  <si>
    <t>Operating capital allocated to subordinated units</t>
  </si>
  <si>
    <t>Intra-company long-term receivables</t>
  </si>
  <si>
    <t>Loans receivable – long-term</t>
  </si>
  <si>
    <t>Other long-term receivables</t>
  </si>
  <si>
    <t>Allowance for doubtful long-term debts</t>
  </si>
  <si>
    <t>Fixed assets</t>
  </si>
  <si>
    <t>Tangible fixed assets</t>
  </si>
  <si>
    <t>Cost</t>
  </si>
  <si>
    <t>Accumulated depreciation</t>
  </si>
  <si>
    <t>Finance lease tangible fixed assets</t>
  </si>
  <si>
    <t>Intangible fixed assets</t>
  </si>
  <si>
    <t>Accumulated amortisation</t>
  </si>
  <si>
    <t>Investment property</t>
  </si>
  <si>
    <t>Long-term work in progress</t>
  </si>
  <si>
    <t>Construction in progress</t>
  </si>
  <si>
    <t>Long-term financial investments</t>
  </si>
  <si>
    <t>Investments in subsidiaries</t>
  </si>
  <si>
    <t>Investments in associates, joint-ventures</t>
  </si>
  <si>
    <t>Equity investments in other entities</t>
  </si>
  <si>
    <t>Allowance for diminution in the value of long-term financial investments</t>
  </si>
  <si>
    <t>Other long-term assets</t>
  </si>
  <si>
    <t>Long-term prepaid expenses</t>
  </si>
  <si>
    <t>Deferred tax assets</t>
  </si>
  <si>
    <t>Long-term tools, supplies and spare parts</t>
  </si>
  <si>
    <t>Goodwill</t>
  </si>
  <si>
    <t>TOTAL ASSETS (270 = 100 + 200)</t>
  </si>
  <si>
    <t>RESOURCES</t>
  </si>
  <si>
    <t>LIABILITIES (300 = 310 + 330)</t>
  </si>
  <si>
    <t>Current liabilities</t>
  </si>
  <si>
    <t>Accounts payable to suppliers</t>
  </si>
  <si>
    <t>Advances from customers</t>
  </si>
  <si>
    <t>Taxes payable to State Treasury</t>
  </si>
  <si>
    <t>Payables to employees</t>
  </si>
  <si>
    <t>Accrued expenses</t>
  </si>
  <si>
    <t>Intra-company payables</t>
  </si>
  <si>
    <t>Payables on construction contracts according to stages of completion</t>
  </si>
  <si>
    <t>Unearned revenue – short-term</t>
  </si>
  <si>
    <t>Other payables – short-term</t>
  </si>
  <si>
    <t>Short-term borrowings, bonds and finance lease liabilities</t>
  </si>
  <si>
    <t xml:space="preserve">Provisions – short-term </t>
  </si>
  <si>
    <t>Bonus and welfare funds</t>
  </si>
  <si>
    <t>Price stabilization fund</t>
  </si>
  <si>
    <t>Government bonds under sale and repurchase agreements</t>
  </si>
  <si>
    <t>Long-term liabilities</t>
  </si>
  <si>
    <t>Long-term accounts payable to suppliers</t>
  </si>
  <si>
    <t>Long-term advances from customers</t>
  </si>
  <si>
    <t>Long-term accrued expenses</t>
  </si>
  <si>
    <t>Intra-company payables for operating capital received</t>
  </si>
  <si>
    <t>Long-term intra-company payables</t>
  </si>
  <si>
    <t>Long-term unearned revenue</t>
  </si>
  <si>
    <t>Other payables – long-term</t>
  </si>
  <si>
    <t>Long-term borrowings, bonds and finance lease liabilities</t>
  </si>
  <si>
    <t>Convertible bonds</t>
  </si>
  <si>
    <t>Preference shares</t>
  </si>
  <si>
    <t>Deferred tax liabilities</t>
  </si>
  <si>
    <t xml:space="preserve">Provisions – long-term </t>
  </si>
  <si>
    <t>Science and technology development fund</t>
  </si>
  <si>
    <t>EQUITY (400 = 410 + 430)</t>
  </si>
  <si>
    <t>Owners’ equity</t>
  </si>
  <si>
    <t>[Contributed capital/ Share capital]</t>
  </si>
  <si>
    <t>Ordinary shares with voting rights</t>
  </si>
  <si>
    <t>411a</t>
  </si>
  <si>
    <t>411b</t>
  </si>
  <si>
    <t>Capital surplus/Share premium</t>
  </si>
  <si>
    <t>Options to convert bonds into shares</t>
  </si>
  <si>
    <t>Other capital</t>
  </si>
  <si>
    <t>Treasury shares</t>
  </si>
  <si>
    <t>Differences upon asset revaluation</t>
  </si>
  <si>
    <t>Foreign exchange differences</t>
  </si>
  <si>
    <t>Investment and development fund</t>
  </si>
  <si>
    <t>Enterprise reorganization assistance fund</t>
  </si>
  <si>
    <t>Other equity funds</t>
  </si>
  <si>
    <t>Retained profits/(Accumulated losses)</t>
  </si>
  <si>
    <t>Retained profits/(Accumulated losses) brought forward</t>
  </si>
  <si>
    <t>421a</t>
  </si>
  <si>
    <t>421b</t>
  </si>
  <si>
    <t>Capital expenditure fund</t>
  </si>
  <si>
    <t>Non-controlling interest</t>
  </si>
  <si>
    <t>Non-business expenditure fund and other funds</t>
  </si>
  <si>
    <t>Non-business expenditure fund</t>
  </si>
  <si>
    <t>Non-business expenditure fund invested in fixed assets</t>
  </si>
  <si>
    <t xml:space="preserve">TOTAL RESOURCES </t>
  </si>
  <si>
    <t xml:space="preserve">Current assets </t>
  </si>
  <si>
    <t>Current assets (100 = 110 + 120 + 130 + 140 + 150)</t>
  </si>
  <si>
    <t>Long-term assets (200 = 210 + 220 + 230 + 240 + 250 + 260)</t>
  </si>
  <si>
    <t>ASSETS</t>
  </si>
  <si>
    <t>TÀI SẢN</t>
  </si>
  <si>
    <t>Tài sản ngắn hạn (100 = 110 + 120 + 130 + 140 + 150)</t>
  </si>
  <si>
    <t>CLOSING BALANCE
(SỐ DƯ CUỐI KỲ</t>
  </si>
  <si>
    <t>Tiền và các khoản tương đương tiền</t>
  </si>
  <si>
    <t xml:space="preserve">Tiền </t>
  </si>
  <si>
    <t>Các khoản tương đương tiền</t>
  </si>
  <si>
    <t>Đầu tư tài chính ngắn hạn</t>
  </si>
  <si>
    <t>Chứng khoán kinh doanh</t>
  </si>
  <si>
    <t>Dự phòng giảm giá chứng khoán kinh doanh</t>
  </si>
  <si>
    <t>Đầu tư nắm giữ đến ngày đáo hạn</t>
  </si>
  <si>
    <t>Các khoản phải thu ngắn hạn</t>
  </si>
  <si>
    <t>Phải thu ngắn hạn của khách hàng</t>
  </si>
  <si>
    <t>Trả trước cho người bán ngắn hạn</t>
  </si>
  <si>
    <t>Phải thu nội bộ ngắn hạn</t>
  </si>
  <si>
    <t>Phải thu theo tiến độ kế hoạch hợp đồng xây dựng</t>
  </si>
  <si>
    <t>Phải thu về cho vay ngắn hạn</t>
  </si>
  <si>
    <t>Phải thu ngắn hạn khác</t>
  </si>
  <si>
    <t>Dự phòng các khoản phải thu ngắn hạn khó đòi</t>
  </si>
  <si>
    <t>Tài sản thiếu chờ xử lý</t>
  </si>
  <si>
    <t>Hàng tồn kho</t>
  </si>
  <si>
    <t>Dự phòng giảm giá hàng tồn kho</t>
  </si>
  <si>
    <t>Tài sản ngắn hạn khác</t>
  </si>
  <si>
    <t xml:space="preserve">Chi phí trả trước ngắn hạn </t>
  </si>
  <si>
    <t>Thuế giá trị gia tăng được khấu trừ</t>
  </si>
  <si>
    <t xml:space="preserve">Thuế và các khoản khác phải thu Nhà nước </t>
  </si>
  <si>
    <t>Giao dịch mua bán lại trái phiếu Chính phủ</t>
  </si>
  <si>
    <t>Tài sản dài hạn</t>
  </si>
  <si>
    <t>Tài sản dài hạn (200 = 210 + 220 + 230 + 240 + 250 + 260)</t>
  </si>
  <si>
    <t>Các khoản phải thu dài hạn</t>
  </si>
  <si>
    <t>Phải thu dài hạn của khách hàng</t>
  </si>
  <si>
    <t>Trả trước cho người bán dài hạn</t>
  </si>
  <si>
    <t>Vốn kinh doanh ở đơn vị trực thuộc</t>
  </si>
  <si>
    <t>Phải thu nội bộ dài hạn</t>
  </si>
  <si>
    <t>Phải thu về cho vay dài hạn</t>
  </si>
  <si>
    <t>Phải thu dài hạn khác</t>
  </si>
  <si>
    <t>Dự phòng phải thu dài hạn khó đòi</t>
  </si>
  <si>
    <t>Tài sản cố định</t>
  </si>
  <si>
    <t>Tài sản cố định hữu hình</t>
  </si>
  <si>
    <t>Nguyên giá</t>
  </si>
  <si>
    <t>Giá trị hao mòn lũy kế</t>
  </si>
  <si>
    <t>Tài sản cố định hữu hình thuê tài chính</t>
  </si>
  <si>
    <t>Tài sản cố định vô hình</t>
  </si>
  <si>
    <t>Bất động sản đầu tư</t>
  </si>
  <si>
    <t>Tài sản dở dang dài hạn</t>
  </si>
  <si>
    <t>Chi phí sản xuất, kinh doanh dở dang dài hạn</t>
  </si>
  <si>
    <t>Chi phí xây dựng cơ bản dở dang</t>
  </si>
  <si>
    <t>Đầu tư tài chính dài hạn</t>
  </si>
  <si>
    <t>Đầu tư vào công ty con</t>
  </si>
  <si>
    <t>Đầu tư vào các công ty liên doanh, liên kết</t>
  </si>
  <si>
    <t>Đầu tư góp vốn vào đơn vị khác</t>
  </si>
  <si>
    <t>Dự phòng đầu tư tài chính dài hạn</t>
  </si>
  <si>
    <t>Tài sản dài hạn khác</t>
  </si>
  <si>
    <t>Chi phí trả trước dài hạn</t>
  </si>
  <si>
    <t>Tài sản thuế thu nhập hoãn lại</t>
  </si>
  <si>
    <t>Thiết bị, vật tư, phụ tùng thay thế dài hạn</t>
  </si>
  <si>
    <t>Lợi thế thương mại</t>
  </si>
  <si>
    <t xml:space="preserve">TỔNG CỘNG TÀI SẢN </t>
  </si>
  <si>
    <t>TỔNG CỘNG TÀI SẢN (270 = 100 + 200)</t>
  </si>
  <si>
    <t>NGUỒN VỐN</t>
  </si>
  <si>
    <t>NỢ PHẢI TRẢ (300 = 310 + 330)</t>
  </si>
  <si>
    <t>Nợ ngắn hạn</t>
  </si>
  <si>
    <t>Phải trả người bán ngắn hạn</t>
  </si>
  <si>
    <t>Người mua trả tiền trước ngắn hạn</t>
  </si>
  <si>
    <t>Thuế và các khoản phải nộp Nhà nước</t>
  </si>
  <si>
    <t>Phải trả người lao động</t>
  </si>
  <si>
    <t>Chi phí phải trả ngắn hạn</t>
  </si>
  <si>
    <t>Phải trả nội bộ ngắn hạn</t>
  </si>
  <si>
    <t>Phải trả theo tiến độ kế hoạch hợp đồng xây dựng</t>
  </si>
  <si>
    <t>Doanh thu chưa thực hiện ngắn hạn</t>
  </si>
  <si>
    <t>Phải trả ngắn hạn khác</t>
  </si>
  <si>
    <t>Vay, trái phiếu phát hành và nợ thuê tài chính ngắn hạn</t>
  </si>
  <si>
    <t>Dự phòng phải trả ngắn hạn</t>
  </si>
  <si>
    <t>Quỹ khen thưởng, phúc lợi</t>
  </si>
  <si>
    <t>Quỹ bình ổn giá</t>
  </si>
  <si>
    <t>Chi phí sản xuất, kinh doanh dở dang dài hạN</t>
  </si>
  <si>
    <t>Nợ dài hạn</t>
  </si>
  <si>
    <t>Phải trả người bán dài hạn</t>
  </si>
  <si>
    <t>Người mua trả tiền trước dài hạn</t>
  </si>
  <si>
    <t>Chi phí phải trả dài hạn</t>
  </si>
  <si>
    <t>Phải trả nội bộ về vốn kinh doanh</t>
  </si>
  <si>
    <t>Phải trả nội bộ dài hạn</t>
  </si>
  <si>
    <t>Doanh thu chưa thực hiện dài hạn</t>
  </si>
  <si>
    <t>Phải trả dài hạn khác</t>
  </si>
  <si>
    <t xml:space="preserve">Vay, trái phiếu phát hành và nợ thuê tài chính dài hạn </t>
  </si>
  <si>
    <t>Trái phiếu chuyển đổi</t>
  </si>
  <si>
    <t>Cổ phiếu ưu đãi</t>
  </si>
  <si>
    <t>Thuế thu nhập hoãn lại phải trả</t>
  </si>
  <si>
    <t>Dự phòng phải trả dài hạn</t>
  </si>
  <si>
    <t>Quỹ phát triển khoa học và công nghệ</t>
  </si>
  <si>
    <t>[Vốn góp/vốn cổ phần]</t>
  </si>
  <si>
    <t xml:space="preserve">  - Preference shares</t>
  </si>
  <si>
    <t xml:space="preserve">  - Ordinary shares with voting rights</t>
  </si>
  <si>
    <t xml:space="preserve">  - Cổ phiếu phổ thông có quyền biểu quyết</t>
  </si>
  <si>
    <t xml:space="preserve">  - Cổ phiếu ưu đãi</t>
  </si>
  <si>
    <t>VỐN CHỦ SỞ HỮU (400 = 410 + 430)</t>
  </si>
  <si>
    <t>Vốn chủ sở hữu</t>
  </si>
  <si>
    <t xml:space="preserve">  - Retained profits/(Accumulated losses) brought forward</t>
  </si>
  <si>
    <t xml:space="preserve">  - Retained profit/(loss) for the current year</t>
  </si>
  <si>
    <t>Thặng dư vốn cổ phần</t>
  </si>
  <si>
    <t>Quyền chọn chuyển đổi trái phiếu</t>
  </si>
  <si>
    <t>Vốn khác của chủ sở hữu</t>
  </si>
  <si>
    <t>Cổ phiếu quỹ</t>
  </si>
  <si>
    <t>Chênh lệch đánh giá lại tài sản</t>
  </si>
  <si>
    <t>Chênh lệch tỷ giá hối đoái</t>
  </si>
  <si>
    <t>Quỹ đầu tư phát triển</t>
  </si>
  <si>
    <t>Quỹ hỗ trợ sắp xếp doanh nghiệp</t>
  </si>
  <si>
    <t>Quỹ khác thuộc vốn chủ sở hữu</t>
  </si>
  <si>
    <t>Lợi nhuận sau thuế chưa phân phối/(Lỗ lũy kế)</t>
  </si>
  <si>
    <t xml:space="preserve">  - LNST chưa phân phối/(Lỗ) lũy kế đến cuối kỳ trước</t>
  </si>
  <si>
    <t xml:space="preserve">  - LNST chưa phân phối/(Lỗ) kỳ này</t>
  </si>
  <si>
    <t xml:space="preserve">Nguồn vốn đầu tư xây dựng cơ bản </t>
  </si>
  <si>
    <t>Lợi ích cổ đông không kiểm soát</t>
  </si>
  <si>
    <t>Nguồn kinh phí và các quỹ khác</t>
  </si>
  <si>
    <t xml:space="preserve">Nguồn kinh phí </t>
  </si>
  <si>
    <t xml:space="preserve">Nguồn kinh phí đã hình thành tài sản cố định </t>
  </si>
  <si>
    <t xml:space="preserve">TỔNG CỘNG NGUỒN VỐN </t>
  </si>
  <si>
    <t>TOTAL RESOURCES (440 = 300 + 400)</t>
  </si>
  <si>
    <t>TỔNG CỘNG NGUỒN VỐN (440 = 300 + 400)</t>
  </si>
  <si>
    <t>Cash on hand</t>
  </si>
  <si>
    <t>Cash in banks</t>
  </si>
  <si>
    <t>Cash in transit</t>
  </si>
  <si>
    <t>Tiền mặt</t>
  </si>
  <si>
    <t>Tiền gửi ngân hàng</t>
  </si>
  <si>
    <t>Tiền đang chuyển</t>
  </si>
  <si>
    <t>Vietnam Dong</t>
  </si>
  <si>
    <t>Foreign currencies</t>
  </si>
  <si>
    <t>Monetary Gold</t>
  </si>
  <si>
    <t>Tiền Việt Nam</t>
  </si>
  <si>
    <t>Ngoại tệ</t>
  </si>
  <si>
    <t>Vàng tiền tệ</t>
  </si>
  <si>
    <t>Term deposits</t>
  </si>
  <si>
    <t>Tiền gửi có kỳ hạn</t>
  </si>
  <si>
    <t>Other held to maturity investments</t>
  </si>
  <si>
    <t>Các khoản đầu tư khác nắm giữ đến ngày đáo hạn</t>
  </si>
  <si>
    <t>Shares</t>
  </si>
  <si>
    <t>Cổ phiếu</t>
  </si>
  <si>
    <t>Bonds</t>
  </si>
  <si>
    <t>Trái phiếu</t>
  </si>
  <si>
    <t>Other securities and financial instruments</t>
  </si>
  <si>
    <t>Chứng khoán và công cụ tài chính khác</t>
  </si>
  <si>
    <t>Intra-company receivables on foreign exchange differences</t>
  </si>
  <si>
    <t>Phải thu nội bộ về chênh lệch tỷ giá</t>
  </si>
  <si>
    <t>Intra-company receivables on borrowing costs eligible to be capitalized</t>
  </si>
  <si>
    <t>Phải thu nội bộ về chi phí đi vay đủ điều kiện được vốn hóa</t>
  </si>
  <si>
    <t>Other intra-company receivables</t>
  </si>
  <si>
    <t>Phải thu nội bộ khác</t>
  </si>
  <si>
    <t>Receivables from equitization</t>
  </si>
  <si>
    <t>Phải thu về cổ phần hóa</t>
  </si>
  <si>
    <t>Others</t>
  </si>
  <si>
    <t>Phải thu khác</t>
  </si>
  <si>
    <t>Other payables</t>
  </si>
  <si>
    <t>Phải trả, phải nộp khác</t>
  </si>
  <si>
    <t>Advances</t>
  </si>
  <si>
    <t>Tạm ứng</t>
  </si>
  <si>
    <t>Mortgage, collaterals and deposits</t>
  </si>
  <si>
    <t>Cầm cố, thế chấp, ký quỹ, ký cược</t>
  </si>
  <si>
    <t>Goods to transit</t>
  </si>
  <si>
    <t>Hàng mua đang đi đường</t>
  </si>
  <si>
    <t>Raw materials</t>
  </si>
  <si>
    <t>Nguyên liệu, vật liệu</t>
  </si>
  <si>
    <t>Tools and supplies</t>
  </si>
  <si>
    <t>Công cụ, dụng cụ</t>
  </si>
  <si>
    <t>Work in progress</t>
  </si>
  <si>
    <t>Chi phí sản xuất, kinh doanh dở dang</t>
  </si>
  <si>
    <t>Reusable packaging materials</t>
  </si>
  <si>
    <t>Bao bì luân chuyển</t>
  </si>
  <si>
    <t>Instruments for renting</t>
  </si>
  <si>
    <t>Đồ dùng cho thuê</t>
  </si>
  <si>
    <t>Equipment and spare parts for replacement</t>
  </si>
  <si>
    <t>Thiết bị, phụ tùng thay thế</t>
  </si>
  <si>
    <t>Construction contracts</t>
  </si>
  <si>
    <t>Xây lắp</t>
  </si>
  <si>
    <t>Other products</t>
  </si>
  <si>
    <t>Sản phẩm khác</t>
  </si>
  <si>
    <t>Services</t>
  </si>
  <si>
    <t>Dịch vụ</t>
  </si>
  <si>
    <t>Warranty costs</t>
  </si>
  <si>
    <t>Chi phí bảo hành xây lắp</t>
  </si>
  <si>
    <t>Finished products - inventory</t>
  </si>
  <si>
    <t>Thành phẩm nhập kho</t>
  </si>
  <si>
    <t>Finished products - real estates</t>
  </si>
  <si>
    <t>Thành phẩm bất động sản</t>
  </si>
  <si>
    <t>Finished goods</t>
  </si>
  <si>
    <t>Thành phẩm</t>
  </si>
  <si>
    <t>Purchase costs</t>
  </si>
  <si>
    <t>Giá mua hàng hoá</t>
  </si>
  <si>
    <t>Incidental purchase costs</t>
  </si>
  <si>
    <t>Chi phí thu mua hàng hoá</t>
  </si>
  <si>
    <t>Properties held for sale</t>
  </si>
  <si>
    <t>Hàng hóa bất động sản</t>
  </si>
  <si>
    <t>Merchandise inventories</t>
  </si>
  <si>
    <t>Hàng hoá</t>
  </si>
  <si>
    <t>Goods on consignment</t>
  </si>
  <si>
    <t>Hàng gửi đi bán</t>
  </si>
  <si>
    <t>Goods in bonded warehouse</t>
  </si>
  <si>
    <t>Hàng hóa kho bảo thuế</t>
  </si>
  <si>
    <t>CAPTION</t>
  </si>
  <si>
    <t>CHỈ TIÊU</t>
  </si>
  <si>
    <t>Thuế GTGT đầu ra</t>
  </si>
  <si>
    <t>Thuế GTGT hàng nhập khẩu</t>
  </si>
  <si>
    <t>Thuế tiêu thụ đặc biệt</t>
  </si>
  <si>
    <t>Thuế xuất, nhập khẩu</t>
  </si>
  <si>
    <t>Thuế thu nhập doanh nghiệp</t>
  </si>
  <si>
    <t>Thuế thu nhập cá nhân</t>
  </si>
  <si>
    <t>Thuế tài nguyên</t>
  </si>
  <si>
    <t>Thuế nhà đất, tiền thuê đất</t>
  </si>
  <si>
    <t>Thuế bảo vệ môi trường và các loại thuế khác 33381 Thuế bảo vệ môi</t>
  </si>
  <si>
    <t>Tài sản ngắn hạn</t>
  </si>
  <si>
    <t>VAS FOR REF</t>
  </si>
  <si>
    <t>MAPP NO</t>
  </si>
  <si>
    <t>Buildings</t>
  </si>
  <si>
    <t>Machinery and equipment</t>
  </si>
  <si>
    <t>AD - Buildings</t>
  </si>
  <si>
    <t>AD - Machinery and equipment</t>
  </si>
  <si>
    <t>Nhà cửa</t>
  </si>
  <si>
    <t>HMLK - Nhà cửa</t>
  </si>
  <si>
    <t>Buildings and structures</t>
  </si>
  <si>
    <t>Nhà cửa, vật kiến trúc</t>
  </si>
  <si>
    <t>Máy móc, thiết bị</t>
  </si>
  <si>
    <t>Means of transportation and transmission</t>
  </si>
  <si>
    <t>Phương tiện vận tải, truyền dẫn</t>
  </si>
  <si>
    <t>Office equipment and furniture</t>
  </si>
  <si>
    <t>Thiết bị, dụng cụ quản lý</t>
  </si>
  <si>
    <t>Perennial plants, working animals and farm livestocks</t>
  </si>
  <si>
    <t>Cây lâu năm, súc vật làm việc và cho sản phẩm</t>
  </si>
  <si>
    <t>Other fixed assets</t>
  </si>
  <si>
    <t>Tài sản cố định khác</t>
  </si>
  <si>
    <t>AD - Buildings and structures</t>
  </si>
  <si>
    <t>AD - Means of transportation and transmission</t>
  </si>
  <si>
    <t>AD - Office equipment and furniture</t>
  </si>
  <si>
    <t>AD - Perennial plants, working animals and farm livestocks</t>
  </si>
  <si>
    <t>AD - Other fixed assets</t>
  </si>
  <si>
    <t>HMLK - Nhà cửa, vật kiến trúc</t>
  </si>
  <si>
    <t>HMLK - Máy móc, thiết bị</t>
  </si>
  <si>
    <t>HMLK - Phương tiện vận tải, truyền dẫn</t>
  </si>
  <si>
    <t>HMLK - Thiết bị, dụng cụ quản lý</t>
  </si>
  <si>
    <t>HMLK - Cây lâu năm, súc vật làm việc và cho sản phẩm</t>
  </si>
  <si>
    <t>HMLK - Tài sản cố định khác</t>
  </si>
  <si>
    <t>Land use rights</t>
  </si>
  <si>
    <t>Quyền sử dụng đất</t>
  </si>
  <si>
    <t>Copyrights</t>
  </si>
  <si>
    <t>Quyền phát hành</t>
  </si>
  <si>
    <t>Patents and inventions</t>
  </si>
  <si>
    <t>Bản quyền, bằng sáng chế</t>
  </si>
  <si>
    <t>Product labels and trademarks</t>
  </si>
  <si>
    <t>Nhãn hiệu, tên thương mại</t>
  </si>
  <si>
    <t>Computer software</t>
  </si>
  <si>
    <t>Chương trình phần mềm</t>
  </si>
  <si>
    <t>Licences and franchises</t>
  </si>
  <si>
    <t>Giấy phép và giấy phép nhượng quyền</t>
  </si>
  <si>
    <t>Other intangible fi assets</t>
  </si>
  <si>
    <t>Tài sản cố định vô hình khác</t>
  </si>
  <si>
    <t>AA - Land use rights</t>
  </si>
  <si>
    <t>AA - Copyrights</t>
  </si>
  <si>
    <t>AA - Patents and inventions</t>
  </si>
  <si>
    <t>AA - Product labels and trademarks</t>
  </si>
  <si>
    <t>AA - Computer software</t>
  </si>
  <si>
    <t>AA - Licences and franchises</t>
  </si>
  <si>
    <t>HMLK - Quyền sử dụng đất</t>
  </si>
  <si>
    <t>HMLK - Quyền phát hành</t>
  </si>
  <si>
    <t>HMLK - Bản quyền, bằng sáng chế</t>
  </si>
  <si>
    <t>HMLK - Nhãn hiệu, tên thương mại</t>
  </si>
  <si>
    <t>HMLK - Chương trình phần mềm</t>
  </si>
  <si>
    <t>HMLK - Giấy phép và giấy phép nhượng quyền</t>
  </si>
  <si>
    <t>HMLK - Tài sản cố định vô hình khác</t>
  </si>
  <si>
    <t>AA - Other intangible fixed assets</t>
  </si>
  <si>
    <t>Other assets</t>
  </si>
  <si>
    <t>Tài sản khác</t>
  </si>
  <si>
    <t>AD - Other assets</t>
  </si>
  <si>
    <t>HMLK - Tài sản khác</t>
  </si>
  <si>
    <t>Bất động sản đầu tư cho thuê</t>
  </si>
  <si>
    <t>Investment property held to earn rental</t>
  </si>
  <si>
    <t>Investment property held for capital appreciation</t>
  </si>
  <si>
    <t>Bất động sản đầu tư nắm giữ chờ tăng giá</t>
  </si>
  <si>
    <t>Fixed assets prior to commissioning</t>
  </si>
  <si>
    <t>Mua sắm TSCĐ</t>
  </si>
  <si>
    <t>Construction works</t>
  </si>
  <si>
    <t>Xây dựng cơ bản</t>
  </si>
  <si>
    <t>Major repairs of fixed assets</t>
  </si>
  <si>
    <t>Sửa chữa lớn TSCĐ</t>
  </si>
  <si>
    <t>TOTAL ASSETS</t>
  </si>
  <si>
    <t>Thuế bảo vệ môi trường và các loại thuế khác</t>
  </si>
  <si>
    <t>Intra-company payables for foreign exchange differences</t>
  </si>
  <si>
    <t>Phải trả nội bộ về chênh lệch tỷ giá</t>
  </si>
  <si>
    <t>Intra-company payables for borrowing costs eligible to be capitalized</t>
  </si>
  <si>
    <t>Phải trả nội bộ về chi phí đi vay đủ điều kiện được vốn hoá</t>
  </si>
  <si>
    <t>Other intra-company payables</t>
  </si>
  <si>
    <t>Phải trả nội bộ khác</t>
  </si>
  <si>
    <t>Borrowing loans</t>
  </si>
  <si>
    <t>Các khoản đi vay</t>
  </si>
  <si>
    <t>Finance lease liabilities</t>
  </si>
  <si>
    <t>Nợ thuê tài chính</t>
  </si>
  <si>
    <t>Par value of bonds</t>
  </si>
  <si>
    <t>Mệnh giá trái phiếu</t>
  </si>
  <si>
    <t>Product warranty provisions</t>
  </si>
  <si>
    <t>Dự phòng bảo hành sản phẩm hàng hóa</t>
  </si>
  <si>
    <t>Construction warranty provisions</t>
  </si>
  <si>
    <t>Dự phòng bảo hành công trình xây dựng</t>
  </si>
  <si>
    <t>Enterprise restructuring provisions</t>
  </si>
  <si>
    <t>Dự phòng tái cơ cấu doanh nghiệp</t>
  </si>
  <si>
    <t>Other provisions</t>
  </si>
  <si>
    <t>Qũy thưởng ban quản lý điều hành công ty</t>
  </si>
  <si>
    <t>Bonus fund</t>
  </si>
  <si>
    <t>Quỹ khen thưởng</t>
  </si>
  <si>
    <t>Welfare fund</t>
  </si>
  <si>
    <t>Quỹ phúc lợi</t>
  </si>
  <si>
    <t>Welfare fund used for fixed asset acquisitions</t>
  </si>
  <si>
    <t>Quỹ phúc lợi đã hình thành TSCĐ</t>
  </si>
  <si>
    <t>Management bonus fund</t>
  </si>
  <si>
    <t>Quỹ thưởng ban điều hành</t>
  </si>
  <si>
    <t>Deposits received</t>
  </si>
  <si>
    <t>Nhận ký quỹ, ký cược</t>
  </si>
  <si>
    <t>Bond discounts</t>
  </si>
  <si>
    <t>Chiết khấu trái phiếu</t>
  </si>
  <si>
    <t>Bond premiums</t>
  </si>
  <si>
    <t>Phụ trội trái phiếu</t>
  </si>
  <si>
    <t>Science and technology development fund used for fixed asset acquisition</t>
  </si>
  <si>
    <t>Quỹ phát triển khoa học và công nghệ đã hình thành TSCĐ</t>
  </si>
  <si>
    <t>Contributed capital/ Share capital</t>
  </si>
  <si>
    <t>Vốn góp/vốn cổ phần</t>
  </si>
  <si>
    <t>Cổ phiếu phổ thông có quyền biểu quyết</t>
  </si>
  <si>
    <t>Exchange rate differences upon revaluation of monetary items denominated in foreign currency</t>
  </si>
  <si>
    <t>Chênh lệch tỷ giá do đánh giá lại các khoản mục tiền tệ có gốc ngoại tệ</t>
  </si>
  <si>
    <t>Exchange rate differences in pre-operating period</t>
  </si>
  <si>
    <t>Chênh lệch tỷ giá hối đoái trong giai đoạn trước hoạt động</t>
  </si>
  <si>
    <t>Non-business expenditure out of funds received from the State</t>
  </si>
  <si>
    <t>Chi sự nghiệp</t>
  </si>
  <si>
    <t>Non-business funds bought forward</t>
  </si>
  <si>
    <t>Nguồn kinh phí sự nghiệp năm trước</t>
  </si>
  <si>
    <t>Non-business funds for current year</t>
  </si>
  <si>
    <t>Nguồn kinh phí sự nghiệp năm nay</t>
  </si>
  <si>
    <t>BALANCE SHEET</t>
  </si>
  <si>
    <t>BẢNG CÂN ĐỐI KẾ TOÁN</t>
  </si>
  <si>
    <t>INCOME STATEMENT</t>
  </si>
  <si>
    <t>BÁO CÁO KẾT QUẢ HOẠT ĐỘNG KINH DOANH</t>
  </si>
  <si>
    <t>Revenue from sales of goods and provision of services</t>
  </si>
  <si>
    <t>Revenue deductions</t>
  </si>
  <si>
    <t>Net revenue (10 = 01 - 02)</t>
  </si>
  <si>
    <t>Cost of sales</t>
  </si>
  <si>
    <t>Gross profit/(loss) (20 = 10 - 11)</t>
  </si>
  <si>
    <t>Financial income</t>
  </si>
  <si>
    <t>Financial expenses</t>
  </si>
  <si>
    <t>Share of profit/(loss) in associates and jointly controlled entities</t>
  </si>
  <si>
    <t>Selling expenses</t>
  </si>
  <si>
    <t>General and administration expenses</t>
  </si>
  <si>
    <t>Other income</t>
  </si>
  <si>
    <t>Other expenses</t>
  </si>
  <si>
    <t>Results of other activities (40 = 31 - 32)</t>
  </si>
  <si>
    <t>Income tax expense – current</t>
  </si>
  <si>
    <t>Income tax expense/(benefit) – deferred</t>
  </si>
  <si>
    <t>Attributable to:</t>
  </si>
  <si>
    <t>Equity holders of the Company</t>
  </si>
  <si>
    <t>Earnings per share</t>
  </si>
  <si>
    <t>Basic earnings per share</t>
  </si>
  <si>
    <t>Diluted earnings per share</t>
  </si>
  <si>
    <t>Doanh thu bán hàng và cung cấp dịch vụ</t>
  </si>
  <si>
    <t>Các khoản giảm trừ doanh thu</t>
  </si>
  <si>
    <t>Doanh thu thuần về bán hàng và cung cấp dịch vụ (10 = 01 - 02)</t>
  </si>
  <si>
    <t>Giá vốn hàng bán</t>
  </si>
  <si>
    <t>Lợi nhuận/(lỗ) gộp (20 = 10 - 11)</t>
  </si>
  <si>
    <t>Doanh thu hoạt động tài chính</t>
  </si>
  <si>
    <t>Chi phí tài chính</t>
  </si>
  <si>
    <t>Phần lãi hoặc lỗ trong công ty liên doanh, liên kết</t>
  </si>
  <si>
    <t>Chi phí bán hàng</t>
  </si>
  <si>
    <t>Chi phí quản lý doanh nghiệp</t>
  </si>
  <si>
    <t>Thu nhập khác</t>
  </si>
  <si>
    <t>Chi phí khác</t>
  </si>
  <si>
    <t>Lợi nhuận/(lỗ) khác (40 = 31 - 32)</t>
  </si>
  <si>
    <t>Chi phí thuế TNDN hiện hành</t>
  </si>
  <si>
    <t>Chi phí/(lợi ích) thuế TNDN hoãn lại</t>
  </si>
  <si>
    <t>Phân bổ:</t>
  </si>
  <si>
    <t>Lợi nhuận sau thuế của công ty mẹ</t>
  </si>
  <si>
    <t>Lợi nhuận sau thuế của cổ đông không kiểm soát</t>
  </si>
  <si>
    <t>Lãi trên cổ phiếu</t>
  </si>
  <si>
    <t>Lãi cơ bản trên cổ phiếu</t>
  </si>
  <si>
    <t>Lãi suy giảm trên cổ phiếu</t>
  </si>
  <si>
    <t>Revenue from sales of merchandises</t>
  </si>
  <si>
    <t>Doanh thu bán hàng hoá</t>
  </si>
  <si>
    <t>Revenue from sales of finished goods</t>
  </si>
  <si>
    <t>Doanh thu bán các thành phẩm</t>
  </si>
  <si>
    <t>Revenue from services rendered</t>
  </si>
  <si>
    <t>Doanh thu cung cấp dịch vụ</t>
  </si>
  <si>
    <t>Revenue from government grants</t>
  </si>
  <si>
    <t>Doanh thu trợ cấp, trợ giá</t>
  </si>
  <si>
    <t>Revenue from investment properties</t>
  </si>
  <si>
    <t>Doanh thu kinh doanh bất động sản đầu tư</t>
  </si>
  <si>
    <t>Other revenue</t>
  </si>
  <si>
    <t>Doanh thu khác</t>
  </si>
  <si>
    <t>Trade discounts</t>
  </si>
  <si>
    <t>Chiết khấu thương mại</t>
  </si>
  <si>
    <t>Sales returns</t>
  </si>
  <si>
    <t>Hàng bán bị trả lại</t>
  </si>
  <si>
    <t>Sales rebates</t>
  </si>
  <si>
    <t>Giảm giá hàng bán</t>
  </si>
  <si>
    <t>Costs of merchandises sold</t>
  </si>
  <si>
    <t>Costs of finished goods sold</t>
  </si>
  <si>
    <t>Costs of services rendered</t>
  </si>
  <si>
    <t>Costs of investment properties</t>
  </si>
  <si>
    <t>Giá vốn hàng hoá đã bán</t>
  </si>
  <si>
    <t>Giá vốn dịch vụ đã cung cấp</t>
  </si>
  <si>
    <t>Giá vốn kinh doanh bất động sản đầu tư</t>
  </si>
  <si>
    <t>Giá vốn thành phẩm đã bán</t>
  </si>
  <si>
    <t>Interest income from deposits and loans</t>
  </si>
  <si>
    <t>Gain on disposal of financial investments</t>
  </si>
  <si>
    <t xml:space="preserve">Dividends </t>
  </si>
  <si>
    <t>Realised foreign exchange gains</t>
  </si>
  <si>
    <t>Unrealised foreign exchange gains</t>
  </si>
  <si>
    <t>Lãi tiền gửi và cho vay</t>
  </si>
  <si>
    <t>Lãi chênh lệch tỷ giá hối đoái đã thực hiện</t>
  </si>
  <si>
    <t>Lãi chênh lệch tỷ giá hối đoái chưa thực hiện</t>
  </si>
  <si>
    <t>Lãi từ thanh lý các khoản đầu tư tài chính</t>
  </si>
  <si>
    <t>Cổ tức được chia</t>
  </si>
  <si>
    <t>Doanh thu hoạt động tài chính khác</t>
  </si>
  <si>
    <t>Interest expense</t>
  </si>
  <si>
    <t>Loss from disposal of financial investments</t>
  </si>
  <si>
    <t>Allowance for diminution of trading securities and investments</t>
  </si>
  <si>
    <t>Other financial expenses</t>
  </si>
  <si>
    <t xml:space="preserve">Chi phí lãi vay </t>
  </si>
  <si>
    <t>Lỗ do thanh lý các khoản đầu tư tài chính</t>
  </si>
  <si>
    <t>Dự phòng giảm giá chứng khoán kinh doanh và tổn thất đầu tư</t>
  </si>
  <si>
    <t>Chi phí tài chính khác</t>
  </si>
  <si>
    <t>Realised foreign exchange losses</t>
  </si>
  <si>
    <t>Lỗ chênh lệch tỷ giá đã thực hiện</t>
  </si>
  <si>
    <t>Unrealised foreign exchange losses</t>
  </si>
  <si>
    <t>Lỗ chênh lệch tỷ giá chưa thực hiện</t>
  </si>
  <si>
    <t>Staff expenses</t>
  </si>
  <si>
    <t>Chi phí nhân viên</t>
  </si>
  <si>
    <t>Materials and packing materials</t>
  </si>
  <si>
    <t>Chi phí nguyên vật liệu, bao bì</t>
  </si>
  <si>
    <t>Tools and instruments</t>
  </si>
  <si>
    <t>Chi phí dụng cụ, đồ dùng</t>
  </si>
  <si>
    <t>Fixed asset depreciation</t>
  </si>
  <si>
    <t>Chi phí khấu hao TSCĐ</t>
  </si>
  <si>
    <t>Warranty expenses</t>
  </si>
  <si>
    <t>Chi phí bảo hành</t>
  </si>
  <si>
    <t>Outside services</t>
  </si>
  <si>
    <t>Chi phí dịch vụ mua ngoài</t>
  </si>
  <si>
    <t>Chi phí bằng tiền khác</t>
  </si>
  <si>
    <t>Chi phí nhân viên quản lý</t>
  </si>
  <si>
    <t>Office supply expenses</t>
  </si>
  <si>
    <t>Chi phí vật liệu quản lý</t>
  </si>
  <si>
    <t>Office equipment expenses</t>
  </si>
  <si>
    <t>Chi phí đồ dùng văn phòng</t>
  </si>
  <si>
    <t>Taxes, fees and charges</t>
  </si>
  <si>
    <t>Thuế, phí và lệ phí</t>
  </si>
  <si>
    <t>Provision expenses</t>
  </si>
  <si>
    <t>Chi phí dự phòng</t>
  </si>
  <si>
    <t>Gain from disposals of fixed assets</t>
  </si>
  <si>
    <t xml:space="preserve">Lãi do thanh lý tài sản cố định </t>
  </si>
  <si>
    <t>Các khoản khác</t>
  </si>
  <si>
    <t>Loss from disposals of fixed assets</t>
  </si>
  <si>
    <t xml:space="preserve">Lỗ do thanh lý tài sản cố định </t>
  </si>
  <si>
    <t>Balance check</t>
  </si>
  <si>
    <t>Net revenue</t>
  </si>
  <si>
    <t>CODE
(MÃ SỐ)</t>
  </si>
  <si>
    <t>Rate</t>
  </si>
  <si>
    <t>BALANCE SHEET (BẢNG CÂN ĐỐI KẾ TOÁN)</t>
  </si>
  <si>
    <t>hide</t>
  </si>
  <si>
    <t>CASTING
(don't type this area)</t>
  </si>
  <si>
    <t>In which: Interest expense</t>
  </si>
  <si>
    <t>Trong đó: Chi phí lãi vay</t>
  </si>
  <si>
    <t>Net profit/(loss) after tax (60 = 50 - 51 - 52)</t>
  </si>
  <si>
    <t>Net operating profit/(loss) {30 = 20 + (21 - 22) + 24 - (25 + 26)}</t>
  </si>
  <si>
    <t>Lợi nhuận/(lỗ) thuần từ hoạt động kinh doanh {30 = 20 + (21 - 22) + 24 - (25 + 26)}</t>
  </si>
  <si>
    <t>Accounting profit/(loss) before tax (50 = 30 + 40)</t>
  </si>
  <si>
    <t>Lợi nhuận/(lỗ) kế toán trước thuế (50 = 30 + 40)</t>
  </si>
  <si>
    <t>Lợi nhuận/(lỗ) sau thuế TNDN (60 = 50 - 51 - 52)</t>
  </si>
  <si>
    <t>Currency:</t>
  </si>
  <si>
    <t>RATE</t>
  </si>
  <si>
    <t>CURRENT YEAR</t>
  </si>
  <si>
    <t>Hide</t>
  </si>
  <si>
    <t>STATEMENT OF CASHFLOW</t>
  </si>
  <si>
    <t>VND</t>
  </si>
  <si>
    <t>Cash flows from operating activities</t>
  </si>
  <si>
    <t>Adjustments for</t>
  </si>
  <si>
    <t>Other adjustments</t>
  </si>
  <si>
    <t xml:space="preserve">Change in receivables </t>
  </si>
  <si>
    <t>Change in inventories</t>
  </si>
  <si>
    <t xml:space="preserve">Change in payables and other liabilities </t>
  </si>
  <si>
    <t>Change in prepaid expenses</t>
  </si>
  <si>
    <t>Change in trading securities</t>
  </si>
  <si>
    <t>Interest paid</t>
  </si>
  <si>
    <t>Income tax paid</t>
  </si>
  <si>
    <t>Other receipts from operating activities</t>
  </si>
  <si>
    <t>Other payments for operating activities</t>
  </si>
  <si>
    <t>Net cash flows from operating activities</t>
  </si>
  <si>
    <t>Cash flows from investing activities</t>
  </si>
  <si>
    <t>Payments for additions to fixed assets and other long-term assets</t>
  </si>
  <si>
    <t>Proceeds from disposals of fixed assets and other long-term assets</t>
  </si>
  <si>
    <t>Payments for granting loans, purchase of debt instruments of other entities</t>
  </si>
  <si>
    <t>Receipts from collecting loans, sales of debt instruments of other entities</t>
  </si>
  <si>
    <t>Payments for investments in other entities</t>
  </si>
  <si>
    <t>Collections on investments in other entities</t>
  </si>
  <si>
    <t>Receipts of interests and dividends</t>
  </si>
  <si>
    <t>Acquisition of subsidiary, net of cash acquired</t>
  </si>
  <si>
    <t>Net cash flows from investing activities</t>
  </si>
  <si>
    <t>Cash flows from financing activities</t>
  </si>
  <si>
    <t>Proceeds from equity issued or capital contributed by owners</t>
  </si>
  <si>
    <t>Payments for capital refunds and shares redemptions</t>
  </si>
  <si>
    <t>Proceeds from borrowings</t>
  </si>
  <si>
    <t>Payments to settle loan principals</t>
  </si>
  <si>
    <t>Payments to settle finance lease liabilities</t>
  </si>
  <si>
    <t>Payments of dividends</t>
  </si>
  <si>
    <t>Net cash flows from financing activities</t>
  </si>
  <si>
    <t>(50 = 20 + 30 + 40)</t>
  </si>
  <si>
    <t xml:space="preserve">Effect of exchange rate fluctuations on cash and cash equivalents </t>
  </si>
  <si>
    <t>LƯU CHUYỂN TIỀN TỪ HOẠT ĐỘNG KINH DOANH</t>
  </si>
  <si>
    <t>Điều chỉnh cho các khoản</t>
  </si>
  <si>
    <t>Các khoản dự phòng</t>
  </si>
  <si>
    <t>Các khoản điều chỉnh khác</t>
  </si>
  <si>
    <t xml:space="preserve">Biến động các khoản phải thu </t>
  </si>
  <si>
    <t xml:space="preserve">Biến động hàng tồn kho </t>
  </si>
  <si>
    <t xml:space="preserve">Biến động các khoản phải trả và nợ phải trả khác </t>
  </si>
  <si>
    <t xml:space="preserve">Biến động chi phí trả trước </t>
  </si>
  <si>
    <t xml:space="preserve">Biến động chứng khoán kinh doanh </t>
  </si>
  <si>
    <t>Tiền lãi vay đã trả</t>
  </si>
  <si>
    <t>Thuế thu nhập doanh nghiệp đã nộp</t>
  </si>
  <si>
    <t>Tiền thu khác từ hoạt động kinh doanh</t>
  </si>
  <si>
    <t>Tiền chi khác cho hoạt động kinh doanh</t>
  </si>
  <si>
    <t>Lưu chuyển tiền thuần từ các hoạt động kinh doanh</t>
  </si>
  <si>
    <t>LƯU CHUYỂN TIỀN TỪ HOẠT ĐỘNG ĐẦU TƯ</t>
  </si>
  <si>
    <t xml:space="preserve">Tiền chi mua sắm, xây dựng tài sản cố định và tài sản dài hạn khác </t>
  </si>
  <si>
    <t xml:space="preserve">Tiền thu từ thanh lý, nhượng bán tài sản cố định và tài sản dài hạn khác </t>
  </si>
  <si>
    <t xml:space="preserve">Tiền chi cho vay, mua các công cụ nợ của các đơn vị khác </t>
  </si>
  <si>
    <t xml:space="preserve">Tiền thu hồi cho vay, bán lại các công cụ nợ của các đơn vị khác </t>
  </si>
  <si>
    <t xml:space="preserve">Tiền chi đầu tư góp vốn vào các đơn vị khác </t>
  </si>
  <si>
    <t xml:space="preserve">Tiền thu hồi đầu tư góp vốn vào các đơn vị khác </t>
  </si>
  <si>
    <t>Mua công ty con (đã trừ đi số dư tiền của công ty con được mua)</t>
  </si>
  <si>
    <t>Lưu chuyển tiền thuần từ các hoạt động đầu tư</t>
  </si>
  <si>
    <t>LƯU CHUYỂN TIỀN TỪ CÁC HOẠT ĐỘNG TÀI CHÍNH</t>
  </si>
  <si>
    <t xml:space="preserve">Tiền thu từ phát hành cổ phiếu, nhận góp vốn của chủ sở hữu </t>
  </si>
  <si>
    <t xml:space="preserve">Tiền trả lại vốn góp cho chủ sở hữu, mua lại cổ phiếu đã phát hành </t>
  </si>
  <si>
    <t>Tiền thu từ đi vay</t>
  </si>
  <si>
    <t xml:space="preserve">Tiền trả nợ gốc vay </t>
  </si>
  <si>
    <t xml:space="preserve">Tiền trả nợ gốc thuê tài chính </t>
  </si>
  <si>
    <t xml:space="preserve">Tiền trả cổ tức </t>
  </si>
  <si>
    <t>Lưu chuyển tiền thuần từ các hoạt động tài chính</t>
  </si>
  <si>
    <t xml:space="preserve">Ảnh hưởng của thay đổi tỷ giá hối đoái quy đổi ngoại tệ </t>
  </si>
  <si>
    <t>Depreciation and amortisation </t>
  </si>
  <si>
    <t>Khấu hao và phân bổ </t>
  </si>
  <si>
    <t>Allowances and provisions </t>
  </si>
  <si>
    <t>Profit/(loss) before tax</t>
  </si>
  <si>
    <t>Lợi nhuận/(lỗ) trước thuế</t>
  </si>
  <si>
    <t>Exchange losses/(gains)  arising from revaluation of monetary items denominated in foreign currencies</t>
  </si>
  <si>
    <t>Lỗ/(lãi) chênh lệch tỷ giá hối đoái do đánh giá lại các khoản mục tiền tệ có gốc ngoại tệ</t>
  </si>
  <si>
    <t>(Profits)/losses from investing activities </t>
  </si>
  <si>
    <t xml:space="preserve">(Lãi)/lỗ từ hoạt động đầu tư </t>
  </si>
  <si>
    <t>Operating profit/(loss) before changes in working capital</t>
  </si>
  <si>
    <t>Lợi nhuận/(lỗ) từ hoạt động kinh doanh trước những thay đổi vốn lưu động</t>
  </si>
  <si>
    <t xml:space="preserve">Tiền thu [lãi cho vay/lãi tiền gửi] và cổ tức </t>
  </si>
  <si>
    <t>Net cash flows during the [period/year]</t>
  </si>
  <si>
    <t>Lưu chuyển tiền thuần trong [kỳ/năm] (50 = 20 + 30 + 40)</t>
  </si>
  <si>
    <t>Tiền và các khoản tương đương tiền đầu [kỳ/năm]</t>
  </si>
  <si>
    <t>Cash and cash equivalents at the beginning of the [period/year]</t>
  </si>
  <si>
    <t>Tiền và các khoản tương đương tiền cuối [kỳ/năm] (70 = 50 + 60 + 61)</t>
  </si>
  <si>
    <t>Cash and cash equivalents at the end of the [period/year] (70 = 50 + 60 + 61)</t>
  </si>
  <si>
    <t>CLOSING BALANCE</t>
  </si>
  <si>
    <t>SỐ DƯ ĐẦU KỲ</t>
  </si>
  <si>
    <t>SỐ DƯ CUỐI KỲ</t>
  </si>
  <si>
    <t>Tangible fixed assets - Cost</t>
  </si>
  <si>
    <t xml:space="preserve">Tài sản cố định hữu hình - Nguyên giá </t>
  </si>
  <si>
    <t>Tangible fixed assets - Accumulated depreciation</t>
  </si>
  <si>
    <t>Tài sản cố định hữu hình - Giá trị hao mòn lũy kế</t>
  </si>
  <si>
    <t>Finance lease tangible fixed assets - Cost</t>
  </si>
  <si>
    <t>Finance lease tangible fixed assets - Accumulated depreciation</t>
  </si>
  <si>
    <t>Tài sản cố định hữu hình thuê tài chính - Nguyên giá</t>
  </si>
  <si>
    <t>Tài sản cố định hữu hình thuê tài chính - Giá trị hao mòn lũy kế</t>
  </si>
  <si>
    <t>Intangible fixed assets - Cost</t>
  </si>
  <si>
    <t>Intangible fixed assets - Accumulated amortisation</t>
  </si>
  <si>
    <t>Tài sản cố định vô hình - Nguyên giá</t>
  </si>
  <si>
    <t>Tài sản cố định vô hình - Giá trị hao mòn lũy kế</t>
  </si>
  <si>
    <t>Investment property - Cost</t>
  </si>
  <si>
    <t>Investment property - Accumulated depreciation</t>
  </si>
  <si>
    <t>Bất động sản đầu tư - Nguyên giá</t>
  </si>
  <si>
    <t>Bất động sản đầu tư - Giá trị hao mòn lũy kế</t>
  </si>
  <si>
    <t>SA</t>
  </si>
  <si>
    <t>Cost of sales - Others</t>
  </si>
  <si>
    <t>Other GA expenses</t>
  </si>
  <si>
    <t>Client account</t>
  </si>
  <si>
    <t>Description</t>
  </si>
  <si>
    <t>Dividend received</t>
  </si>
  <si>
    <t>Dividend paid</t>
  </si>
  <si>
    <t>Interest expenses</t>
  </si>
  <si>
    <t>x</t>
  </si>
  <si>
    <t>Other short-term receivables</t>
  </si>
  <si>
    <t>Other ST receivables (nagative)</t>
  </si>
  <si>
    <t>Other LT receivables (nagative)</t>
  </si>
  <si>
    <t>Other LT payables</t>
  </si>
  <si>
    <t>Other ST payables</t>
  </si>
  <si>
    <t>VAT on imported goods rec.</t>
  </si>
  <si>
    <t>Special consumption taxrec.</t>
  </si>
  <si>
    <t>Import and export tax rec.</t>
  </si>
  <si>
    <t>Tax on use of natural resources rec.</t>
  </si>
  <si>
    <t>Land and housing tax, and rental charges rec.</t>
  </si>
  <si>
    <t>Environment protection tax and other taxes rec.</t>
  </si>
  <si>
    <t>Special consumption tax pay.</t>
  </si>
  <si>
    <t>Import and export tax pay.</t>
  </si>
  <si>
    <t>Corporate income tax pay.</t>
  </si>
  <si>
    <t>Personal income tax pay.</t>
  </si>
  <si>
    <t>Tax on use of natural resources pay.</t>
  </si>
  <si>
    <t>Land and housing tax, and rental charges pay.</t>
  </si>
  <si>
    <t>Environment protection tax and other taxes pay.</t>
  </si>
  <si>
    <t>Output VAT pay.</t>
  </si>
  <si>
    <t>VAT on imported goods pay.</t>
  </si>
  <si>
    <t>Output VAT rec.</t>
  </si>
  <si>
    <t>Corporate income tax rec.</t>
  </si>
  <si>
    <t>Personal income tax rec.</t>
  </si>
  <si>
    <t>Accrued expenses ST</t>
  </si>
  <si>
    <t>Transferred lines</t>
  </si>
  <si>
    <t>Quy tien mat - VND - Cash book no. 1</t>
  </si>
  <si>
    <t>(VND) 0071005613222 - VCB HCM - Bitexco</t>
  </si>
  <si>
    <t>BIDV CN Thach That</t>
  </si>
  <si>
    <t>Advances to employees</t>
  </si>
  <si>
    <t xml:space="preserve"> May moc, thiet bi</t>
  </si>
  <si>
    <t xml:space="preserve"> Thiet bi, dung cu quan ly</t>
  </si>
  <si>
    <t>Hao mon May moc, thiet bi</t>
  </si>
  <si>
    <t>Hao mon thiet bi, dung cu quan ly</t>
  </si>
  <si>
    <t>Depreciation -Computer software</t>
  </si>
  <si>
    <t>Invested real estate</t>
  </si>
  <si>
    <t>Depreciation of real estate</t>
  </si>
  <si>
    <t>Depreciation of real estate (temp)</t>
  </si>
  <si>
    <t>Unr. Revenue - Office for lease</t>
  </si>
  <si>
    <t>Payable VAT</t>
  </si>
  <si>
    <t>Paid in capital</t>
  </si>
  <si>
    <t>Previous year undistributed earnings</t>
  </si>
  <si>
    <t>This year undistributed earnings</t>
  </si>
  <si>
    <t>Account receivables</t>
  </si>
  <si>
    <t>Accounts payable - Trade</t>
  </si>
  <si>
    <t>Receipt of long-term colateral, deposit</t>
  </si>
  <si>
    <t>Real. Revenue-Apartment for lease</t>
  </si>
  <si>
    <t>Real. Revenue-Others real estate for le</t>
  </si>
  <si>
    <t>COGS - Gym's services</t>
  </si>
  <si>
    <t>COGS - Office for lease</t>
  </si>
  <si>
    <t>COGS - Retail for Lease</t>
  </si>
  <si>
    <t>COGS - Parking</t>
  </si>
  <si>
    <t>COGS - Others real estate for lease</t>
  </si>
  <si>
    <t>Interest for lending</t>
  </si>
  <si>
    <t>Loan interest</t>
  </si>
  <si>
    <t>Loss from foreignexchange rate differen</t>
  </si>
  <si>
    <t>Other financial cost</t>
  </si>
  <si>
    <t>Audit - Kiem toan</t>
  </si>
  <si>
    <t>Tax, Legal fee - Thue, phi, le phi</t>
  </si>
  <si>
    <t>Bank charge  - Phi ngan hang</t>
  </si>
  <si>
    <t>Building and architectonic objects - Nh</t>
  </si>
  <si>
    <t>Income from disposal, liquidation of fi</t>
  </si>
  <si>
    <t>Net book value of disposed, liquidated</t>
  </si>
  <si>
    <t>Current CIT Cost</t>
  </si>
  <si>
    <t xml:space="preserve"> Nha cua, vat kien truc</t>
  </si>
  <si>
    <t xml:space="preserve">  Hao mon nha cua, vat kien truc</t>
  </si>
  <si>
    <t>(Lãi)/ Lỗtrong ky</t>
  </si>
  <si>
    <t>Investments to associates</t>
  </si>
  <si>
    <t>Other assets- Bat dong san sau tu</t>
  </si>
  <si>
    <t>AD Other assets- Bat dong san sau tu</t>
  </si>
  <si>
    <t>Accounting (profit)/loss before tax</t>
  </si>
  <si>
    <t xml:space="preserve">Net (profit)/loss after tax </t>
  </si>
  <si>
    <t>Net operating (profit)/loss</t>
  </si>
  <si>
    <t>Gross (profit)/loss (20 = 10 - 11)</t>
  </si>
  <si>
    <t>Retained (profit)/loss for the current year</t>
  </si>
  <si>
    <t>Retained (profits)/Accumulated losses</t>
  </si>
  <si>
    <t xml:space="preserve">(Lợi nhuận)/lỗ sau thuế TNDN </t>
  </si>
  <si>
    <t xml:space="preserve">(Lợi nhuận)/lỗ kế toán trước thuế </t>
  </si>
  <si>
    <t>(Lợi nhuận)/lỗ khác (40 = 31 - 32)</t>
  </si>
  <si>
    <t>(Lợi nhuận)/lỗ thuần từ hoạt động kinh doanh</t>
  </si>
  <si>
    <t>(Lợi nhuận)/lỗ gộp (20 = 10 - 11)</t>
  </si>
  <si>
    <t>Note</t>
  </si>
  <si>
    <t>Total</t>
  </si>
  <si>
    <t>Depreciation and amortisation</t>
  </si>
  <si>
    <t>Tax losses utilised</t>
  </si>
  <si>
    <t>Accounting profit before tax</t>
  </si>
  <si>
    <t>Deferred tax assets not recognised</t>
  </si>
  <si>
    <t>Adj Dr</t>
  </si>
  <si>
    <t>Adj Cr</t>
  </si>
  <si>
    <t>SCB</t>
  </si>
  <si>
    <t>Other tax</t>
  </si>
  <si>
    <t>Tax at the Company’s tax rate</t>
  </si>
  <si>
    <t>Tax on non-deductible expenses</t>
  </si>
  <si>
    <t>s</t>
  </si>
  <si>
    <t>Lãi vay</t>
  </si>
  <si>
    <t>UNAUDITED
31-Dec-2018</t>
  </si>
  <si>
    <t>Audited
31-Dec-2018</t>
  </si>
  <si>
    <t>Inter-company receiv</t>
  </si>
  <si>
    <t>Inter-company payabl</t>
  </si>
  <si>
    <t>Bank charge  - Phi n</t>
  </si>
  <si>
    <t>Other Income</t>
  </si>
  <si>
    <t>SEPARATE</t>
  </si>
  <si>
    <t>Balance</t>
  </si>
  <si>
    <t>Balanced</t>
  </si>
  <si>
    <t>UNAUDITED
31-Dec-2019</t>
  </si>
  <si>
    <t>Audited
31-Dec-2019</t>
  </si>
  <si>
    <t>Currency: VND</t>
  </si>
  <si>
    <t>CASH FLOWS FROM OPERATING ACTIVITIES</t>
  </si>
  <si>
    <t xml:space="preserve">Lợi nhuận kế toán trước thuế </t>
  </si>
  <si>
    <t xml:space="preserve">Khấu hao </t>
  </si>
  <si>
    <t xml:space="preserve">Allowances </t>
  </si>
  <si>
    <t>Exchange losses/(gains) arising from revaluation of monetary items denominated in foreign currencies</t>
  </si>
  <si>
    <t>Profits from investing activities</t>
  </si>
  <si>
    <t>Lãi từ hoạt động đầu tư</t>
  </si>
  <si>
    <t>Interest expense and bond issuance costs</t>
  </si>
  <si>
    <t>Chi phí lãi vay, lãi trái phiếu và phí bảo lãnh phát hành trái phiếu</t>
  </si>
  <si>
    <t>Operating profit before changes in working capital</t>
  </si>
  <si>
    <t>Lợi nhuận từ hoạt động kinh doanh trước những thay đổi vốn lưu động</t>
  </si>
  <si>
    <t>Change in receivables</t>
  </si>
  <si>
    <t>Biến động các khoản phải thu</t>
  </si>
  <si>
    <t>Biến động hàng tồn kho</t>
  </si>
  <si>
    <t>Biến động các khoản phải trả và nợ phải trả khác</t>
  </si>
  <si>
    <t>Biến động chi phí trả trước</t>
  </si>
  <si>
    <t>Payment of interest and bond issuance costs</t>
  </si>
  <si>
    <t>Tiền lãi vay và phí bảo lãnh phát hành trái phiếu đã trả</t>
  </si>
  <si>
    <t>Corporate income tax paid</t>
  </si>
  <si>
    <t>Lưu chuyển tiền thuần từ hoạt động kinh doanh</t>
  </si>
  <si>
    <t>CASH FLOWS FROM INVESTING ACTIVITIES</t>
  </si>
  <si>
    <t>Payments for additions to fixed assets and construction in progress</t>
  </si>
  <si>
    <t>Tiền chi mua sắm tài sản cố định và xây dựng cơ bản dở dang</t>
  </si>
  <si>
    <t>Proceeds from disposals of fixed assets</t>
  </si>
  <si>
    <t>Tiền thu từ thanh lý tài sản cố định</t>
  </si>
  <si>
    <t>Payment for granting loans</t>
  </si>
  <si>
    <t>Tiền chi cho vay</t>
  </si>
  <si>
    <t>Receipts from collecting loans</t>
  </si>
  <si>
    <t>Tiền thu hồi cho vay</t>
  </si>
  <si>
    <t>Payments for investments in subsidiaries</t>
  </si>
  <si>
    <t>Tiền chi đầu tư góp vốn vào công ty con</t>
  </si>
  <si>
    <t>Tiền thu lãi tiền gửi và cổ tức</t>
  </si>
  <si>
    <t>Lưu chuyển tiền thuần từ hoạt động đầu tư</t>
  </si>
  <si>
    <t>CASH FLOWS FROM FINANCING ACTIVITIES</t>
  </si>
  <si>
    <t>LƯU CHUYỂN TIỀN TỪ HOẠT ĐỘNG TÀI CHÍNH</t>
  </si>
  <si>
    <t>Proceeds from borrowings and bonds issuance</t>
  </si>
  <si>
    <t>Tiền thu từ vốn góp</t>
  </si>
  <si>
    <t>Tiền thu từ đi vay và phát hành trái phiếu</t>
  </si>
  <si>
    <t>Tiền trả nợ gốc vay</t>
  </si>
  <si>
    <t>Tiền trả cổ tức</t>
  </si>
  <si>
    <t>Lưu chuyển tiền thuần từ hoạt động tài chính</t>
  </si>
  <si>
    <t>Net cash flows during the year (50 = 20 + 30 + 40)</t>
  </si>
  <si>
    <t>Lưu chuyển tiền thuần trong năm (50 = 20 + 30 + 40)</t>
  </si>
  <si>
    <t>Cash and cash equivalents at the beginning of the year</t>
  </si>
  <si>
    <t>Tiền và các khoản tương đương tiền đầu năm</t>
  </si>
  <si>
    <t>Effect of exchange rate fluctuations on cash and cash equivalents</t>
  </si>
  <si>
    <t>Ảnh hưởng của thay đổi tỷ giá hối đoái đối với tiền và các khoản tương đương tiền</t>
  </si>
  <si>
    <t>Cash and cash equivalents at the end of the year (70 = 50 + 60 + 61)</t>
  </si>
  <si>
    <t>Tiền và các khoản tương đương tiền cuối năm (70 = 50 + 60 + 61)</t>
  </si>
  <si>
    <t>Useful life</t>
  </si>
  <si>
    <t>46 years</t>
  </si>
  <si>
    <t>39 – 46 years</t>
  </si>
  <si>
    <t>3 – 10 years</t>
  </si>
  <si>
    <t>Last year FS</t>
  </si>
  <si>
    <t>Additional items</t>
  </si>
  <si>
    <t>Current year FS disclosure</t>
  </si>
  <si>
    <t>37 - 46 years</t>
  </si>
  <si>
    <t>37 years</t>
  </si>
  <si>
    <t xml:space="preserve">Machinery and equipment </t>
  </si>
  <si>
    <t xml:space="preserve"> million</t>
  </si>
  <si>
    <t>million</t>
  </si>
  <si>
    <t>million which were fully amortised as of 31 December 2019</t>
  </si>
  <si>
    <t>Company code</t>
  </si>
  <si>
    <t>31-Dec-2020</t>
  </si>
  <si>
    <t/>
  </si>
  <si>
    <t>BẢNG TỔNG HỢP CÂN ĐỐI SỐ PHÁT SINH</t>
  </si>
  <si>
    <t>Đơn vị tính: VND</t>
  </si>
  <si>
    <t>Mã TK</t>
  </si>
  <si>
    <t>Tên tài khoản</t>
  </si>
  <si>
    <t>Số dư đầu kỳ</t>
  </si>
  <si>
    <t>Phát sinh trong kỳ</t>
  </si>
  <si>
    <t>Số dư cuối kỳ</t>
  </si>
  <si>
    <t>Nợ</t>
  </si>
  <si>
    <t>Có</t>
  </si>
  <si>
    <t>11110001</t>
  </si>
  <si>
    <t>Tien mat- VND</t>
  </si>
  <si>
    <t>1803</t>
  </si>
  <si>
    <t>Cộng TK 111</t>
  </si>
  <si>
    <t>11210022</t>
  </si>
  <si>
    <t>11210142</t>
  </si>
  <si>
    <t>11212401</t>
  </si>
  <si>
    <t>Cộng TK 112</t>
  </si>
  <si>
    <t>13110001</t>
  </si>
  <si>
    <t>Phai thu khach hang</t>
  </si>
  <si>
    <t>Cộng TK 131</t>
  </si>
  <si>
    <t>13311000</t>
  </si>
  <si>
    <t>Thue GTGT dau vao noi dia</t>
  </si>
  <si>
    <t>Cộng TK 133</t>
  </si>
  <si>
    <t>13680001</t>
  </si>
  <si>
    <t>Cộng TK 1368</t>
  </si>
  <si>
    <t>13880001</t>
  </si>
  <si>
    <t>Phai thu khac</t>
  </si>
  <si>
    <t>Cộng TK 138</t>
  </si>
  <si>
    <t>14110001</t>
  </si>
  <si>
    <t>Tam ung nhan vien</t>
  </si>
  <si>
    <t>Cộng TK 141</t>
  </si>
  <si>
    <t>21120001</t>
  </si>
  <si>
    <t>May moc, thiet bi</t>
  </si>
  <si>
    <t>21140001</t>
  </si>
  <si>
    <t>Thiet bi, dung cu quan ly</t>
  </si>
  <si>
    <t>Cộng TK 211</t>
  </si>
  <si>
    <t>21350001</t>
  </si>
  <si>
    <t>Phan mem may tinh</t>
  </si>
  <si>
    <t>Cộng TK 213</t>
  </si>
  <si>
    <t>21410002</t>
  </si>
  <si>
    <t>21410004</t>
  </si>
  <si>
    <t>21430005</t>
  </si>
  <si>
    <t>Hao mon phan mem may tinh</t>
  </si>
  <si>
    <t>21470001</t>
  </si>
  <si>
    <t>21470002</t>
  </si>
  <si>
    <t>Cộng TK 214</t>
  </si>
  <si>
    <t>21710001</t>
  </si>
  <si>
    <t>Cộng TK 217</t>
  </si>
  <si>
    <t>33110001</t>
  </si>
  <si>
    <t>Phai tra nha cung cap</t>
  </si>
  <si>
    <t>Cộng TK 331</t>
  </si>
  <si>
    <t>33310001</t>
  </si>
  <si>
    <t>Thue GTGT phai nop</t>
  </si>
  <si>
    <t>Cộng TK 3331</t>
  </si>
  <si>
    <t>33389999</t>
  </si>
  <si>
    <t>Thue khac</t>
  </si>
  <si>
    <t>Cộng TK 3338</t>
  </si>
  <si>
    <t>33510001</t>
  </si>
  <si>
    <t>Chi phi phai tra ngan han</t>
  </si>
  <si>
    <t>Cộng TK 335</t>
  </si>
  <si>
    <t>33680001</t>
  </si>
  <si>
    <t>Cộng TK 3368</t>
  </si>
  <si>
    <t>33873301</t>
  </si>
  <si>
    <t>Doanh thu chua thuc hien- tien thue v</t>
  </si>
  <si>
    <t>33880001</t>
  </si>
  <si>
    <t>Phai tra khac</t>
  </si>
  <si>
    <t>Cộng TK 338</t>
  </si>
  <si>
    <t>34410001</t>
  </si>
  <si>
    <t>Nhan ky quy, ky cuoc</t>
  </si>
  <si>
    <t>Cộng TK 344</t>
  </si>
  <si>
    <t>41110001</t>
  </si>
  <si>
    <t>Von gop chu so huu</t>
  </si>
  <si>
    <t>41180001</t>
  </si>
  <si>
    <t>Von gop khac</t>
  </si>
  <si>
    <t>Cộng TK 411</t>
  </si>
  <si>
    <t>42120001</t>
  </si>
  <si>
    <t>Loi nhuan sau thue chua phan phoi</t>
  </si>
  <si>
    <t>Cộng TK 421</t>
  </si>
  <si>
    <t>51171001</t>
  </si>
  <si>
    <t>Doanh thu- tien thue van phong</t>
  </si>
  <si>
    <t>51171999</t>
  </si>
  <si>
    <t>Cộng TK 511</t>
  </si>
  <si>
    <t>51510001</t>
  </si>
  <si>
    <t>Lai tien gui, lai cho vay</t>
  </si>
  <si>
    <t>Cộng TK 515</t>
  </si>
  <si>
    <t>62720015</t>
  </si>
  <si>
    <t>Chi phi ket noi mang</t>
  </si>
  <si>
    <t>62720041</t>
  </si>
  <si>
    <t>Chi phi ngan hang</t>
  </si>
  <si>
    <t>62740001</t>
  </si>
  <si>
    <t>62750002</t>
  </si>
  <si>
    <t>Chi phi may moc thiet bi</t>
  </si>
  <si>
    <t>62790002</t>
  </si>
  <si>
    <t>Chi phi ket chuyen</t>
  </si>
  <si>
    <t>Cộng TK 627</t>
  </si>
  <si>
    <t>63271999</t>
  </si>
  <si>
    <t>Gia von - khac</t>
  </si>
  <si>
    <t>Cộng TK 632</t>
  </si>
  <si>
    <t>64260003</t>
  </si>
  <si>
    <t>64260004</t>
  </si>
  <si>
    <t>Thue, phi, le phi</t>
  </si>
  <si>
    <t>64280005</t>
  </si>
  <si>
    <t>Cộng TK 642</t>
  </si>
  <si>
    <t>TỔNG CỘNG</t>
  </si>
  <si>
    <t xml:space="preserve">Ngày   tháng   năm </t>
  </si>
  <si>
    <t>Người lập</t>
  </si>
  <si>
    <t>Kế toán trưởng</t>
  </si>
  <si>
    <t>Giám đốc chi nhánh</t>
  </si>
  <si>
    <t>NET</t>
  </si>
  <si>
    <t>MAPPING</t>
  </si>
  <si>
    <t>THUYẾT MINH BCTC</t>
  </si>
  <si>
    <t>Cong ty WP</t>
  </si>
  <si>
    <t xml:space="preserve">At 31 December 2020 the fair value of the Company’s investment property held to earn rental as determined by independent valuer is </t>
  </si>
  <si>
    <t>VND million.</t>
  </si>
  <si>
    <t>31/12/2020</t>
  </si>
  <si>
    <t>1/1/2020</t>
  </si>
  <si>
    <t>CIP</t>
  </si>
  <si>
    <t>Added</t>
  </si>
  <si>
    <t>Khoan vay 1</t>
  </si>
  <si>
    <t>Khoan vay 2</t>
  </si>
  <si>
    <t>Tra lai vay</t>
  </si>
  <si>
    <t>Tra AP</t>
  </si>
  <si>
    <t>Lai vay von hoa</t>
  </si>
  <si>
    <t>Bao gồm trong tài sản cố định hữu hình tại ngày 31 tháng 12 năm 2020 có các tài sản có nguyên giá XX triệu VND đã khấu hao hết nhưng vẫn đang được sử dụng (1/1/2020: XX triệu VND).</t>
  </si>
  <si>
    <t>Bao gồm trong tài sản cố định vô hình có các tài sản với nguyên giá XX triệu VND đã được khấu hao hết tại ngày 31 tháng 12 năm 2020 (1/1/2020: XX triệu VND), nhưng vẫn đang được sử dụng.</t>
  </si>
  <si>
    <t>Máy móc</t>
  </si>
  <si>
    <t>Số dư đầu [kỳ/năm]</t>
  </si>
  <si>
    <t>Tăng trong năm</t>
  </si>
  <si>
    <t>Số dư cuối [kỳ/năm]</t>
  </si>
  <si>
    <t>Khấu hao trong [kỳ/năm]</t>
  </si>
  <si>
    <t>Giá trị còn lại</t>
  </si>
  <si>
    <t>Tại ngày 31 tháng 12 năm 2020 có bất động sản đầu tư cho thuê với giá trị còn lại là XX triệu VND (1/1/2020: XX triệu VND) được thế chấp tại ngân hàng để đảm bảo cho các khoản vay của [Công ty/Tập đoàn].</t>
  </si>
  <si>
    <t>Tại ngày 31 tháng 12 năm 2020 giá trị hợp lý của bất động sản đầu tư cho thuê của [Công ty/Tập đoàn] đã được [Ban Giám đốc/ tổ chức định giá độc lập] xác định là XX triệu VND (1/1/2020: XX triệu VND).</t>
  </si>
  <si>
    <t>Các công trình xây dựng cơ bản dở dang lớn như sau:</t>
  </si>
  <si>
    <t>Công trình ABC</t>
  </si>
  <si>
    <t>Tại ngày 31 tháng 12 năm 2020 giá trị ghi sổ của chi phí xây dựng cơ bản dở dang là XX triệu VND (1/1/2020: XX triệu VND) được thế chấp ngân hàng để bảo đảm cho các khoản vay của [Công ty/Tập đoàn].</t>
  </si>
  <si>
    <t>Trong [kỳ/năm], chi phí vay được vốn hóa vào chi phí xây dựng cơ bản dở dang tương đương 8 tỷ VND (2019: Không).</t>
  </si>
  <si>
    <t>Cong ty BTC JSC</t>
  </si>
  <si>
    <t>Đây là khoản Hợp tác đầu tư vào dự án XYZ tại công ty BTC JSC.  Theo thoả thuận giữa hai Công ty…</t>
  </si>
  <si>
    <t>Nhà thầu A</t>
  </si>
  <si>
    <t>(a) Phải trả người bán chi tiết theo nhà cung cấp lớn</t>
  </si>
  <si>
    <t>(b) Phải trả người bán chi tiết theo kỳ hạn thanh toán</t>
  </si>
  <si>
    <t>Giá gốc</t>
  </si>
  <si>
    <t>Số có khả năng trả nợ</t>
  </si>
  <si>
    <t>Ngắn hạn</t>
  </si>
  <si>
    <t>Dài hạn</t>
  </si>
  <si>
    <t>Phải trả khác</t>
  </si>
  <si>
    <t>Phạt thuế</t>
  </si>
  <si>
    <t>Số phải nộp trong năm</t>
  </si>
  <si>
    <t>Số đã nộp trong năm</t>
  </si>
  <si>
    <t>Số phải thu trong năm</t>
  </si>
  <si>
    <t>Số đã được hoàn lại trong năm</t>
  </si>
  <si>
    <t>Thuế giá trị gia tăng</t>
  </si>
  <si>
    <t>Các loại thuế khác</t>
  </si>
  <si>
    <t>Vay, trái phiếu phát hành và nợ thuê tài chính</t>
  </si>
  <si>
    <t>Giá trị ghi sổ</t>
  </si>
  <si>
    <t>Biến động trong năm</t>
  </si>
  <si>
    <t>Tăng</t>
  </si>
  <si>
    <t>Giảm</t>
  </si>
  <si>
    <t>Vay ngắn hạn</t>
  </si>
  <si>
    <t>Vay dài hạn đến hạn trả</t>
  </si>
  <si>
    <t>(a) Vay, trái phiếu phát hành và nợ thuê tài chính ngắn hạn</t>
  </si>
  <si>
    <t>Điều khoản và điều kiện của các khoản vay ngắn hạn hiện còn số dư như sau:</t>
  </si>
  <si>
    <t>Loại tiền</t>
  </si>
  <si>
    <t>Lãi suất năm</t>
  </si>
  <si>
    <t>Khoản vay ngân hàng 1</t>
  </si>
  <si>
    <t>Khoản vay từ ngân hàng được đảm bảo bằng [mô tả tài sản đảm bảo] có giá trị ghi số là XX triệu VND (1/1/2020: XX triệu VND) (Thuyết minh X).</t>
  </si>
  <si>
    <t>(b) Vay, trái phiếu phát hành và nợ thuê tài chính dài hạn</t>
  </si>
  <si>
    <r>
      <t xml:space="preserve">Vay dài hạn </t>
    </r>
    <r>
      <rPr>
        <sz val="11"/>
        <color rgb="FF00B050"/>
        <rFont val="Times New Roman"/>
        <family val="1"/>
      </rPr>
      <t>(i)</t>
    </r>
  </si>
  <si>
    <t>Khoản đến hạn trả trong vòng 12 tháng</t>
  </si>
  <si>
    <t>Khoản đến hạn trả sau 12 tháng</t>
  </si>
  <si>
    <t>(i) Vay dài hạn</t>
  </si>
  <si>
    <t>Năm đáo hạn</t>
  </si>
  <si>
    <t>Điều khoản và điều kiện của các khoản vay dài hạn hiện còn số dư như sau:</t>
  </si>
  <si>
    <t>Các khoản vay ngân hàng được đảm bảo bằng [mô tả tài sản đảm bảo] có giá trị ghi sổ là XX triệu VND tại ngày 31 tháng 12 năm 2020 (1/1/2020: XX triệu VND) (Thuyết minh X).</t>
  </si>
  <si>
    <t>Cong ty BTC WP</t>
  </si>
  <si>
    <t xml:space="preserve">Đây là khoản Tiền cọc thuê trả trước dài hạn. </t>
  </si>
  <si>
    <t>Thay đổi vốn chủ sở hữu</t>
  </si>
  <si>
    <t>[Vốn góp /vốn cổ phần]</t>
  </si>
  <si>
    <t>Số dư tại ngày 1 tháng 1 năm 2019</t>
  </si>
  <si>
    <t>Số dư tại ngày 1 tháng 1 năm 2020</t>
  </si>
  <si>
    <t>Số dư tại ngày 31 tháng 12 năm 2020</t>
  </si>
  <si>
    <t>Lợi nhuận/(lỗ) thuần trong [kỳ/năm]</t>
  </si>
  <si>
    <t>Lợi nhuận chưa phân phối/(Lỗ lũy kế)</t>
  </si>
  <si>
    <t>Tổng cộng</t>
  </si>
  <si>
    <t>Vốn cổ phần được duyệt</t>
  </si>
  <si>
    <t>Số cổ phiếu</t>
  </si>
  <si>
    <t>Vốn cổ phần đã phát hành</t>
  </si>
  <si>
    <t>Cổ phiếu phổ thông</t>
  </si>
  <si>
    <t>Số cổ phiếu đang lưu hành</t>
  </si>
  <si>
    <t>Cổ phiếu phổ thông có mệnh giá là XX VND.  Mỗi cổ phiếu phổ thông tương ứng với một phiếu biểu quyết tại các cuộc họp cổ đông của Công ty.  Các cổ đông được nhận cổ tức mà Công ty công bố vào từng thời điểm.  Tất cả cổ phiếu phổ thông đều có thứ tự ưu tiên như nhau đối với tài sản còn lại của Công ty.  Các quyền lợi của các cổ phiếu đã được Công ty mua lại đều bị tạm ngừng cho tới khi chúng được phát hành lại.</t>
  </si>
  <si>
    <t>Không có biến động vốn cổ phần trong năm (2019: Không)</t>
  </si>
  <si>
    <t>Tổng doanh thu thể hiện tổng giá trị hàng bán và dịch vụ đã cung cấp, không bao gồm thuế giá trị gia tăng [và thuế tiêu thụ đặc biệt].</t>
  </si>
  <si>
    <t xml:space="preserve"> Cho thuê bất động sản đầu tư </t>
  </si>
  <si>
    <t>Chi phí khấu hao</t>
  </si>
  <si>
    <t>Phí bản quyền</t>
  </si>
  <si>
    <t>Phí kiểm toán</t>
  </si>
  <si>
    <t>Chi phí ngân hàng</t>
  </si>
  <si>
    <t>Chi phí sản xuất và kinh doanh theo yếu tố</t>
  </si>
  <si>
    <t>Thuế thu nhập</t>
  </si>
  <si>
    <t>Ghi nhận trong báo cáo kết quả hoạt động kinh doanh</t>
  </si>
  <si>
    <t>Chi phí thuế hiện hành</t>
  </si>
  <si>
    <t>Năm hiện hành</t>
  </si>
  <si>
    <t xml:space="preserve">Đối chiếu thuế suất thực tế </t>
  </si>
  <si>
    <t>[Lợi nhuận/ (lỗ)] kế toán trước thuế</t>
  </si>
  <si>
    <t>Các giao dịch chủ yếu với các bên liên quan</t>
  </si>
  <si>
    <t>[Ngoài các số dư với bên liên quan được trình bày tại các thuyết minh khác của báo cáo tài chính [hợp nhất] [giữa niên độ], trong [kỳ/năm][Công ty/Tập đoàn] có các giao dịch chủ yếu với các bên liên quan như sau]:</t>
  </si>
  <si>
    <t>Công ty mẹ cấp cao nhất</t>
  </si>
  <si>
    <t>BCT LTD</t>
  </si>
  <si>
    <t>Mua dịch vụ</t>
  </si>
  <si>
    <t>Bán TSCĐ</t>
  </si>
  <si>
    <t>Công ty mẹ</t>
  </si>
  <si>
    <t>BCT WP</t>
  </si>
  <si>
    <t>2020</t>
  </si>
  <si>
    <t>2019</t>
  </si>
  <si>
    <t>Doanh thu cho thuê</t>
  </si>
  <si>
    <t>Nhận tiền cọc cho thuê</t>
  </si>
  <si>
    <t>Giá trị giao dịch</t>
  </si>
  <si>
    <t>Báo cáo lưu chuyển tiền tệ cho năm kết thúc ngày 31 tháng 12 năm 2020 (Phương pháp gián tiếp)</t>
  </si>
  <si>
    <t>CIT</t>
  </si>
  <si>
    <t>Tra CIT</t>
  </si>
  <si>
    <t>Kỳ báo cáo: Từ 01 đến 12/2020</t>
  </si>
  <si>
    <t>Vay dài hạn</t>
  </si>
  <si>
    <t>Giảm/ Phân loại lại</t>
  </si>
  <si>
    <t>PREVIOUS YEAR</t>
  </si>
  <si>
    <t>OPENING BALANCE 
(SỐ DƯ ĐẦU KỲ)</t>
  </si>
  <si>
    <t>CLOSING BALANCE
(SỐ DƯ CUỐI KỲ)</t>
  </si>
  <si>
    <t>Lãi vay phải trả - Vốn lưu động</t>
  </si>
  <si>
    <t>Công ty ABC</t>
  </si>
  <si>
    <t>STATEMENT OF INCOME (BÁO CÁO KẾT QUẢ HOẠT ĐỘNG KINH DOANH)</t>
  </si>
  <si>
    <t>Công ty ABC là công ty cổ phần được thành lập ở VN</t>
  </si>
  <si>
    <t>Phải thu lãi cho vay, lãi tiền gửi</t>
  </si>
  <si>
    <t>Ngành nghề chính của Công ty là cho thuê Văn phòng</t>
  </si>
  <si>
    <t>Công ty nhận đặt cọc cho thuê dài hạn và phân bổ vào Doanh thu hàng năm</t>
  </si>
  <si>
    <t>Thông tin năm 2020</t>
  </si>
  <si>
    <t>Công ty nhận đặt cọc bổ sung từ Khách hàng do thoả thuận lại tiền thuê</t>
  </si>
  <si>
    <t>Giá trị</t>
  </si>
  <si>
    <t>Công ty có 1 dự án xây dựng mới</t>
  </si>
  <si>
    <t>Công ty vay dài hạn để tài trợ dự án xây dựng mới</t>
  </si>
  <si>
    <t>Lãi vay dài hạn được vốn hoá vào giá trị Xây dựng cơ bản dở dang</t>
  </si>
  <si>
    <t>Công ty chưa trả 1 phần lãi vay dài hạn</t>
  </si>
  <si>
    <t>Lãi vay phải trả - Xây dựng cơ bản</t>
  </si>
  <si>
    <t>Công ty vay ngắn hạn để phục vụ nhu cầu vốn lưu động</t>
  </si>
  <si>
    <t>Lãi vay ngắn hạn được ghi nhận vào Báo cáo KQHĐKD</t>
  </si>
  <si>
    <t>Công ty chưa trả 1 phần lãi vay ngắn hạn</t>
  </si>
  <si>
    <t>Đến cuối năm 2020, Chi phí xây dựng còn phải thanh toán là</t>
  </si>
  <si>
    <t>Nội dung</t>
  </si>
  <si>
    <t>STT</t>
  </si>
  <si>
    <t>Công ty ký HĐ Uỷ thác đầu tư với 1 Công ty có liên quan</t>
  </si>
  <si>
    <t>To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</si>
</sst>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_(* #,##0.0_);_(* \(#,##0.0\);_(* &quot;-&quot;??_);_(@_)"/>
  </numFmts>
  <fonts count="57"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theme="0"/>
      <name val="Arial"/>
      <family val="2"/>
    </font>
    <font>
      <sz val="9"/>
      <color rgb="FFFF0000"/>
      <name val="Arial"/>
      <family val="2"/>
    </font>
    <font>
      <b/>
      <sz val="9"/>
      <color rgb="FFFF0000"/>
      <name val="Arial"/>
      <family val="2"/>
    </font>
    <font>
      <sz val="9"/>
      <name val="Arial"/>
      <family val="2"/>
    </font>
    <font>
      <b/>
      <sz val="9"/>
      <name val="Arial"/>
      <family val="2"/>
    </font>
    <font>
      <i/>
      <sz val="9"/>
      <name val="Arial"/>
      <family val="2"/>
    </font>
    <font>
      <sz val="10"/>
      <name val="Arial"/>
      <family val="2"/>
    </font>
    <font>
      <b/>
      <sz val="9"/>
      <color indexed="81"/>
      <name val="Tahoma"/>
      <family val="2"/>
    </font>
    <font>
      <b/>
      <sz val="11"/>
      <color theme="1"/>
      <name val="Segoe UI"/>
      <family val="2"/>
    </font>
    <font>
      <sz val="9"/>
      <color theme="1"/>
      <name val="Segoe UI"/>
      <family val="2"/>
    </font>
    <font>
      <b/>
      <sz val="9"/>
      <color theme="1"/>
      <name val="Segoe UI"/>
      <family val="2"/>
    </font>
    <font>
      <b/>
      <sz val="9"/>
      <color rgb="FFFF0000"/>
      <name val="Segoe UI"/>
      <family val="2"/>
    </font>
    <font>
      <b/>
      <sz val="9"/>
      <color theme="0"/>
      <name val="Segoe UI"/>
      <family val="2"/>
    </font>
    <font>
      <i/>
      <sz val="9"/>
      <color theme="1"/>
      <name val="Segoe UI"/>
      <family val="2"/>
    </font>
    <font>
      <sz val="9"/>
      <name val="Segoe UI"/>
      <family val="2"/>
    </font>
    <font>
      <b/>
      <sz val="9"/>
      <name val="Segoe UI"/>
      <family val="2"/>
    </font>
    <font>
      <i/>
      <sz val="9"/>
      <color rgb="FFFF0000"/>
      <name val="Segoe UI"/>
      <family val="2"/>
    </font>
    <font>
      <sz val="9"/>
      <color rgb="FFFF0000"/>
      <name val="Segoe UI"/>
      <family val="2"/>
    </font>
    <font>
      <i/>
      <sz val="9"/>
      <name val="Segoe UI"/>
      <family val="2"/>
    </font>
    <font>
      <sz val="9"/>
      <color theme="0" tint="-0.249977111117893"/>
      <name val="Segoe UI"/>
      <family val="2"/>
    </font>
    <font>
      <b/>
      <sz val="9"/>
      <color rgb="FFFFFF00"/>
      <name val="Segoe UI"/>
      <family val="2"/>
    </font>
    <font>
      <b/>
      <sz val="9"/>
      <color theme="0" tint="-0.249977111117893"/>
      <name val="Segoe UI"/>
      <family val="2"/>
    </font>
    <font>
      <b/>
      <i/>
      <sz val="9"/>
      <name val="Segoe UI"/>
      <family val="2"/>
    </font>
    <font>
      <b/>
      <sz val="10"/>
      <color theme="1"/>
      <name val="Segoe UI"/>
      <family val="2"/>
    </font>
    <font>
      <sz val="11"/>
      <color theme="1"/>
      <name val="Segoe UI"/>
      <family val="2"/>
    </font>
    <font>
      <b/>
      <sz val="11"/>
      <color theme="0"/>
      <name val="Segoe UI"/>
      <family val="2"/>
    </font>
    <font>
      <i/>
      <u val="singleAccounting"/>
      <sz val="11"/>
      <color theme="1"/>
      <name val="Segoe UI"/>
      <family val="2"/>
    </font>
    <font>
      <b/>
      <sz val="11"/>
      <color indexed="8"/>
      <name val="Segoe UI"/>
      <family val="2"/>
    </font>
    <font>
      <b/>
      <sz val="11"/>
      <color rgb="FFFFFF00"/>
      <name val="Segoe UI"/>
      <family val="2"/>
    </font>
    <font>
      <i/>
      <sz val="11"/>
      <color theme="1"/>
      <name val="Segoe UI"/>
      <family val="2"/>
    </font>
    <font>
      <i/>
      <sz val="11"/>
      <color rgb="FF00B0F0"/>
      <name val="Segoe UI"/>
      <family val="2"/>
    </font>
    <font>
      <i/>
      <u/>
      <sz val="9"/>
      <color theme="1"/>
      <name val="Segoe UI"/>
      <family val="2"/>
    </font>
    <font>
      <b/>
      <i/>
      <sz val="11"/>
      <color theme="1"/>
      <name val="Segoe UI"/>
      <family val="2"/>
    </font>
    <font>
      <sz val="11"/>
      <color theme="0" tint="-0.14999847407452621"/>
      <name val="Segoe UI"/>
      <family val="2"/>
    </font>
    <font>
      <sz val="10"/>
      <name val="Arial"/>
    </font>
    <font>
      <sz val="10"/>
      <color indexed="8"/>
      <name val="Times New Roman"/>
    </font>
    <font>
      <b/>
      <sz val="10"/>
      <color indexed="8"/>
      <name val="Times New Roman"/>
    </font>
    <font>
      <b/>
      <i/>
      <sz val="10"/>
      <color indexed="8"/>
      <name val="Times New Roman"/>
    </font>
    <font>
      <sz val="10"/>
      <color indexed="8"/>
      <name val="Times"/>
    </font>
    <font>
      <b/>
      <sz val="18"/>
      <color indexed="8"/>
      <name val="Times New Roman"/>
    </font>
    <font>
      <b/>
      <sz val="12"/>
      <color indexed="8"/>
      <name val="Times New Roman"/>
    </font>
    <font>
      <b/>
      <sz val="10"/>
      <color indexed="10"/>
      <name val="Times New Roman"/>
    </font>
    <font>
      <sz val="11"/>
      <color indexed="8"/>
      <name val="Times New Roman"/>
    </font>
    <font>
      <b/>
      <sz val="11"/>
      <color indexed="8"/>
      <name val="Times New Roman"/>
    </font>
    <font>
      <i/>
      <sz val="10"/>
      <color indexed="8"/>
      <name val="Times New Roman"/>
    </font>
    <font>
      <sz val="11"/>
      <color theme="1"/>
      <name val="Times New Roman"/>
      <family val="1"/>
    </font>
    <font>
      <b/>
      <sz val="11"/>
      <color theme="1"/>
      <name val="Times New Roman"/>
      <family val="1"/>
    </font>
    <font>
      <b/>
      <sz val="11"/>
      <color rgb="FF00B050"/>
      <name val="Times New Roman"/>
      <family val="1"/>
    </font>
    <font>
      <sz val="11"/>
      <color rgb="FF0000FF"/>
      <name val="Times New Roman"/>
      <family val="1"/>
    </font>
    <font>
      <sz val="11"/>
      <color rgb="FF00B050"/>
      <name val="Times New Roman"/>
      <family val="1"/>
    </font>
    <font>
      <sz val="9"/>
      <color indexed="81"/>
      <name val="Tahoma"/>
      <family val="2"/>
    </font>
    <font>
      <b/>
      <sz val="11"/>
      <color theme="1"/>
      <name val="Calibri"/>
      <family val="2"/>
      <scheme val="minor"/>
    </font>
    <font>
      <b/>
      <i/>
      <sz val="11"/>
      <color theme="1"/>
      <name val="Calibri"/>
      <family val="2"/>
      <scheme val="minor"/>
    </font>
  </fonts>
  <fills count="22">
    <fill>
      <patternFill patternType="none"/>
    </fill>
    <fill>
      <patternFill patternType="gray125"/>
    </fill>
    <fill>
      <patternFill patternType="solid">
        <fgColor theme="5" tint="0.59999389629810485"/>
        <bgColor indexed="64"/>
      </patternFill>
    </fill>
    <fill>
      <patternFill patternType="solid">
        <fgColor rgb="FF0070C0"/>
        <bgColor indexed="64"/>
      </patternFill>
    </fill>
    <fill>
      <patternFill patternType="lightUp"/>
    </fill>
    <fill>
      <patternFill patternType="solid">
        <fgColor theme="0" tint="-0.14999847407452621"/>
        <bgColor indexed="64"/>
      </patternFill>
    </fill>
    <fill>
      <patternFill patternType="solid">
        <fgColor rgb="FF66FFFF"/>
        <bgColor indexed="64"/>
      </patternFill>
    </fill>
    <fill>
      <patternFill patternType="solid">
        <fgColor rgb="FF66CCFF"/>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lightUp">
        <fgColor theme="7" tint="0.39994506668294322"/>
        <bgColor auto="1"/>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FFFF"/>
        <bgColor indexed="64"/>
      </patternFill>
    </fill>
    <fill>
      <patternFill patternType="solid">
        <fgColor rgb="FF92CDDC"/>
        <bgColor indexed="64"/>
      </patternFill>
    </fill>
  </fills>
  <borders count="23">
    <border>
      <left/>
      <right/>
      <top/>
      <bottom/>
      <diagonal/>
    </border>
    <border>
      <left/>
      <right/>
      <top style="thin">
        <color indexed="64"/>
      </top>
      <bottom style="medium">
        <color indexed="64"/>
      </bottom>
      <diagonal/>
    </border>
    <border>
      <left/>
      <right/>
      <top style="thin">
        <color auto="1"/>
      </top>
      <bottom style="double">
        <color auto="1"/>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double">
        <color indexed="64"/>
      </bottom>
      <diagonal/>
    </border>
    <border>
      <left style="dashed">
        <color indexed="64"/>
      </left>
      <right style="dashed">
        <color indexed="64"/>
      </right>
      <top/>
      <bottom/>
      <diagonal/>
    </border>
    <border>
      <left style="dashed">
        <color indexed="64"/>
      </left>
      <right style="dashed">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dashed">
        <color indexed="64"/>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43" fontId="1" fillId="0" borderId="0" applyFont="0" applyFill="0" applyBorder="0" applyAlignment="0" applyProtection="0"/>
    <xf numFmtId="0" fontId="10"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 fillId="0" borderId="0" applyFont="0" applyFill="0" applyBorder="0" applyAlignment="0" applyProtection="0"/>
    <xf numFmtId="0" fontId="38" fillId="0" borderId="0"/>
    <xf numFmtId="0" fontId="39" fillId="0" borderId="0"/>
  </cellStyleXfs>
  <cellXfs count="473">
    <xf numFmtId="0" fontId="0" fillId="0" borderId="0" xfId="0"/>
    <xf numFmtId="0" fontId="2" fillId="0" borderId="0" xfId="0" applyFont="1"/>
    <xf numFmtId="0" fontId="4" fillId="3" borderId="1" xfId="0" applyFont="1" applyFill="1" applyBorder="1" applyAlignment="1">
      <alignment horizontal="center" vertical="center"/>
    </xf>
    <xf numFmtId="164" fontId="2" fillId="0" borderId="0" xfId="1" applyNumberFormat="1" applyFont="1"/>
    <xf numFmtId="0" fontId="2" fillId="0" borderId="0" xfId="0" applyFont="1" applyFill="1"/>
    <xf numFmtId="0" fontId="7" fillId="0" borderId="0" xfId="0" applyFont="1"/>
    <xf numFmtId="0" fontId="7" fillId="0" borderId="0" xfId="0" applyFont="1" applyFill="1"/>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wrapText="1"/>
    </xf>
    <xf numFmtId="0" fontId="4" fillId="3" borderId="0" xfId="0" applyFont="1" applyFill="1" applyAlignment="1">
      <alignment horizontal="center" vertical="center" wrapText="1"/>
    </xf>
    <xf numFmtId="0" fontId="2" fillId="15" borderId="0" xfId="0" applyFont="1" applyFill="1"/>
    <xf numFmtId="0" fontId="7" fillId="15" borderId="0" xfId="0" applyFont="1" applyFill="1"/>
    <xf numFmtId="0" fontId="2" fillId="0" borderId="0" xfId="0" applyFont="1" applyAlignment="1">
      <alignment wrapText="1"/>
    </xf>
    <xf numFmtId="0" fontId="3" fillId="0" borderId="0" xfId="0" applyFont="1" applyAlignment="1">
      <alignment wrapText="1"/>
    </xf>
    <xf numFmtId="0" fontId="7" fillId="0" borderId="0" xfId="0" applyFont="1" applyAlignment="1">
      <alignment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4" fillId="3" borderId="0" xfId="0" applyFont="1" applyFill="1" applyAlignment="1">
      <alignment horizontal="right" wrapText="1"/>
    </xf>
    <xf numFmtId="164" fontId="7" fillId="0" borderId="0" xfId="1" applyNumberFormat="1" applyFont="1" applyAlignment="1">
      <alignment wrapText="1"/>
    </xf>
    <xf numFmtId="164" fontId="7" fillId="0" borderId="0" xfId="1" applyNumberFormat="1" applyFont="1" applyAlignment="1">
      <alignment horizontal="justify" vertical="center" wrapText="1"/>
    </xf>
    <xf numFmtId="164" fontId="8"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7" fillId="0" borderId="3" xfId="1" applyNumberFormat="1" applyFont="1" applyBorder="1" applyAlignment="1">
      <alignment horizontal="left" vertical="center" wrapText="1"/>
    </xf>
    <xf numFmtId="164" fontId="8" fillId="0" borderId="0" xfId="1" applyNumberFormat="1" applyFont="1" applyAlignment="1">
      <alignment vertical="center" wrapText="1"/>
    </xf>
    <xf numFmtId="164" fontId="2" fillId="0" borderId="0" xfId="1" applyNumberFormat="1" applyFont="1" applyBorder="1" applyAlignment="1">
      <alignment wrapText="1"/>
    </xf>
    <xf numFmtId="0" fontId="9" fillId="0" borderId="0" xfId="0" applyFont="1" applyAlignment="1">
      <alignment horizontal="left" vertical="center" wrapText="1"/>
    </xf>
    <xf numFmtId="0" fontId="7" fillId="0" borderId="0" xfId="0" applyFont="1" applyAlignment="1">
      <alignment horizontal="left" wrapText="1"/>
    </xf>
    <xf numFmtId="164" fontId="7" fillId="0" borderId="8" xfId="1" applyNumberFormat="1" applyFont="1" applyBorder="1" applyAlignment="1">
      <alignment wrapText="1"/>
    </xf>
    <xf numFmtId="164" fontId="6" fillId="10" borderId="9" xfId="1" applyNumberFormat="1" applyFont="1" applyFill="1" applyBorder="1" applyAlignment="1">
      <alignment wrapText="1"/>
    </xf>
    <xf numFmtId="164" fontId="7" fillId="0" borderId="8" xfId="1" applyNumberFormat="1" applyFont="1" applyFill="1" applyBorder="1" applyAlignment="1">
      <alignment wrapText="1"/>
    </xf>
    <xf numFmtId="0" fontId="7" fillId="16" borderId="0" xfId="0" applyFont="1" applyFill="1" applyAlignment="1">
      <alignment horizontal="left" wrapText="1"/>
    </xf>
    <xf numFmtId="0" fontId="7" fillId="16" borderId="8" xfId="0" applyFont="1" applyFill="1" applyBorder="1" applyAlignment="1">
      <alignment horizontal="left" wrapText="1"/>
    </xf>
    <xf numFmtId="0" fontId="7" fillId="16" borderId="0" xfId="0" applyFont="1" applyFill="1" applyAlignment="1">
      <alignment horizontal="left" vertical="top" wrapText="1"/>
    </xf>
    <xf numFmtId="0" fontId="7" fillId="16" borderId="8" xfId="0" applyFont="1" applyFill="1" applyBorder="1" applyAlignment="1">
      <alignment horizontal="left" vertical="top" wrapText="1"/>
    </xf>
    <xf numFmtId="15" fontId="4" fillId="3" borderId="1" xfId="1" applyNumberFormat="1" applyFont="1" applyFill="1" applyBorder="1" applyAlignment="1">
      <alignment horizontal="center" vertical="center"/>
    </xf>
    <xf numFmtId="0" fontId="4" fillId="3" borderId="3" xfId="0" applyFont="1" applyFill="1" applyBorder="1" applyAlignment="1">
      <alignment horizontal="center" vertical="center"/>
    </xf>
    <xf numFmtId="0" fontId="2" fillId="0" borderId="0" xfId="0" applyFont="1" applyFill="1" applyBorder="1"/>
    <xf numFmtId="164" fontId="2" fillId="0" borderId="0" xfId="1" applyNumberFormat="1" applyFont="1" applyFill="1" applyBorder="1"/>
    <xf numFmtId="164" fontId="2" fillId="0" borderId="0" xfId="1" applyNumberFormat="1" applyFont="1" applyFill="1"/>
    <xf numFmtId="0" fontId="7" fillId="0" borderId="0" xfId="0" applyFont="1" applyFill="1" applyBorder="1"/>
    <xf numFmtId="164" fontId="2" fillId="0" borderId="0" xfId="1" applyNumberFormat="1" applyFont="1" applyFill="1" applyBorder="1" applyAlignment="1">
      <alignment horizontal="center"/>
    </xf>
    <xf numFmtId="164" fontId="7" fillId="0" borderId="0" xfId="1" applyNumberFormat="1" applyFont="1" applyFill="1"/>
    <xf numFmtId="164" fontId="6" fillId="10" borderId="1" xfId="1" applyNumberFormat="1" applyFont="1" applyFill="1" applyBorder="1" applyAlignment="1">
      <alignment horizontal="center" wrapText="1"/>
    </xf>
    <xf numFmtId="0" fontId="2" fillId="0" borderId="0" xfId="0" applyNumberFormat="1" applyFont="1" applyFill="1" applyBorder="1"/>
    <xf numFmtId="164" fontId="7" fillId="15" borderId="8" xfId="1" applyNumberFormat="1" applyFont="1" applyFill="1" applyBorder="1" applyAlignment="1">
      <alignment wrapText="1"/>
    </xf>
    <xf numFmtId="164" fontId="7" fillId="15" borderId="8" xfId="1" applyNumberFormat="1" applyFont="1" applyFill="1" applyBorder="1"/>
    <xf numFmtId="164" fontId="7" fillId="15" borderId="0" xfId="1" applyNumberFormat="1" applyFont="1" applyFill="1"/>
    <xf numFmtId="164" fontId="7" fillId="15" borderId="0" xfId="0" applyNumberFormat="1" applyFont="1" applyFill="1" applyBorder="1" applyAlignment="1">
      <alignment wrapText="1"/>
    </xf>
    <xf numFmtId="164" fontId="2" fillId="15" borderId="0" xfId="1" applyNumberFormat="1" applyFont="1" applyFill="1"/>
    <xf numFmtId="0" fontId="8" fillId="15" borderId="0" xfId="0" applyFont="1" applyFill="1" applyAlignment="1">
      <alignment vertical="center" wrapText="1"/>
    </xf>
    <xf numFmtId="0" fontId="7" fillId="15" borderId="0" xfId="0" applyFont="1" applyFill="1" applyAlignment="1">
      <alignment wrapText="1"/>
    </xf>
    <xf numFmtId="0" fontId="8" fillId="15" borderId="0" xfId="0" applyFont="1" applyFill="1" applyAlignment="1">
      <alignment vertical="center"/>
    </xf>
    <xf numFmtId="164" fontId="8" fillId="18" borderId="0" xfId="1" applyNumberFormat="1" applyFont="1" applyFill="1" applyAlignment="1">
      <alignment horizontal="left" vertical="center" wrapText="1"/>
    </xf>
    <xf numFmtId="164" fontId="8" fillId="18" borderId="3" xfId="1" applyNumberFormat="1" applyFont="1" applyFill="1" applyBorder="1" applyAlignment="1">
      <alignment horizontal="left" vertical="center" wrapText="1"/>
    </xf>
    <xf numFmtId="164" fontId="8" fillId="18" borderId="0" xfId="1" applyNumberFormat="1" applyFont="1" applyFill="1" applyAlignment="1">
      <alignment vertical="center" wrapText="1"/>
    </xf>
    <xf numFmtId="164" fontId="8" fillId="18" borderId="6" xfId="1" applyNumberFormat="1" applyFont="1" applyFill="1" applyBorder="1" applyAlignment="1">
      <alignment horizontal="left" vertical="center" wrapText="1"/>
    </xf>
    <xf numFmtId="164" fontId="3" fillId="0" borderId="0" xfId="0" applyNumberFormat="1" applyFont="1" applyFill="1" applyBorder="1"/>
    <xf numFmtId="0" fontId="2" fillId="0" borderId="0" xfId="0" applyFont="1" applyFill="1" applyAlignment="1">
      <alignment wrapText="1"/>
    </xf>
    <xf numFmtId="164" fontId="5" fillId="0" borderId="0" xfId="1" applyNumberFormat="1" applyFont="1" applyFill="1"/>
    <xf numFmtId="164" fontId="2" fillId="10" borderId="0" xfId="1" applyNumberFormat="1" applyFont="1" applyFill="1"/>
    <xf numFmtId="164" fontId="7" fillId="15" borderId="0" xfId="1" quotePrefix="1" applyNumberFormat="1" applyFont="1" applyFill="1" applyAlignment="1">
      <alignment horizontal="center" vertical="center" wrapText="1"/>
    </xf>
    <xf numFmtId="164" fontId="6" fillId="0" borderId="0" xfId="1" applyNumberFormat="1" applyFont="1" applyAlignment="1">
      <alignment horizontal="center" vertical="center" wrapText="1"/>
    </xf>
    <xf numFmtId="164" fontId="7" fillId="17" borderId="10" xfId="1" applyNumberFormat="1" applyFont="1" applyFill="1" applyBorder="1" applyAlignment="1">
      <alignment wrapText="1"/>
    </xf>
    <xf numFmtId="164" fontId="7" fillId="17" borderId="14" xfId="1" applyNumberFormat="1" applyFont="1" applyFill="1" applyBorder="1" applyAlignment="1">
      <alignment wrapText="1"/>
    </xf>
    <xf numFmtId="164" fontId="2" fillId="0" borderId="0" xfId="0" applyNumberFormat="1" applyFont="1" applyFill="1"/>
    <xf numFmtId="0" fontId="0" fillId="0" borderId="0" xfId="0" applyFill="1"/>
    <xf numFmtId="0" fontId="13" fillId="0" borderId="0" xfId="0" applyFont="1"/>
    <xf numFmtId="164" fontId="13" fillId="0" borderId="0" xfId="1" applyNumberFormat="1" applyFont="1" applyBorder="1"/>
    <xf numFmtId="0" fontId="14" fillId="0" borderId="0" xfId="0" applyFont="1"/>
    <xf numFmtId="164" fontId="15" fillId="10" borderId="3" xfId="1" applyNumberFormat="1" applyFont="1" applyFill="1" applyBorder="1" applyAlignment="1">
      <alignment horizontal="center"/>
    </xf>
    <xf numFmtId="164" fontId="14" fillId="0" borderId="3" xfId="1" applyNumberFormat="1" applyFont="1" applyBorder="1" applyAlignment="1">
      <alignment horizontal="center"/>
    </xf>
    <xf numFmtId="164" fontId="13" fillId="10" borderId="4" xfId="1" applyNumberFormat="1" applyFont="1" applyFill="1" applyBorder="1" applyAlignment="1">
      <alignment horizontal="center"/>
    </xf>
    <xf numFmtId="164" fontId="13" fillId="10" borderId="12" xfId="1" applyNumberFormat="1" applyFont="1" applyFill="1" applyBorder="1" applyAlignment="1">
      <alignment horizontal="center"/>
    </xf>
    <xf numFmtId="0" fontId="16" fillId="3" borderId="1" xfId="0" applyFont="1" applyFill="1" applyBorder="1" applyAlignment="1">
      <alignment horizontal="center" vertical="center"/>
    </xf>
    <xf numFmtId="164" fontId="16" fillId="3" borderId="1" xfId="1" applyNumberFormat="1" applyFont="1" applyFill="1" applyBorder="1" applyAlignment="1">
      <alignment horizontal="center" vertical="center" wrapText="1"/>
    </xf>
    <xf numFmtId="0" fontId="17" fillId="0" borderId="0" xfId="0" applyFont="1"/>
    <xf numFmtId="164" fontId="17" fillId="0" borderId="0" xfId="1" applyNumberFormat="1" applyFont="1" applyBorder="1"/>
    <xf numFmtId="0" fontId="18" fillId="5" borderId="0" xfId="0" applyFont="1" applyFill="1"/>
    <xf numFmtId="0" fontId="13" fillId="5" borderId="0" xfId="0" applyFont="1" applyFill="1"/>
    <xf numFmtId="164" fontId="13" fillId="5" borderId="0" xfId="1" applyNumberFormat="1" applyFont="1" applyFill="1" applyBorder="1"/>
    <xf numFmtId="0" fontId="18" fillId="2" borderId="0" xfId="0" applyFont="1" applyFill="1"/>
    <xf numFmtId="0" fontId="13" fillId="2" borderId="0" xfId="0" applyFont="1" applyFill="1"/>
    <xf numFmtId="0" fontId="14" fillId="2" borderId="0" xfId="0" applyFont="1" applyFill="1"/>
    <xf numFmtId="164" fontId="14" fillId="2" borderId="0" xfId="1" applyNumberFormat="1" applyFont="1" applyFill="1" applyBorder="1"/>
    <xf numFmtId="0" fontId="18" fillId="0" borderId="0" xfId="0" applyFont="1" applyFill="1"/>
    <xf numFmtId="0" fontId="17" fillId="0" borderId="0" xfId="0" applyFont="1" applyFill="1"/>
    <xf numFmtId="164" fontId="17" fillId="0" borderId="0" xfId="1" applyNumberFormat="1" applyFont="1" applyFill="1" applyBorder="1"/>
    <xf numFmtId="0" fontId="13" fillId="0" borderId="0" xfId="0" applyFont="1" applyFill="1"/>
    <xf numFmtId="0" fontId="19" fillId="2" borderId="0" xfId="0" applyFont="1" applyFill="1"/>
    <xf numFmtId="0" fontId="18" fillId="6" borderId="0" xfId="0" applyFont="1" applyFill="1"/>
    <xf numFmtId="0" fontId="13" fillId="6" borderId="0" xfId="0" applyFont="1" applyFill="1"/>
    <xf numFmtId="0" fontId="14" fillId="6" borderId="0" xfId="0" applyFont="1" applyFill="1"/>
    <xf numFmtId="164" fontId="14" fillId="6" borderId="0" xfId="1" applyNumberFormat="1" applyFont="1" applyFill="1" applyBorder="1"/>
    <xf numFmtId="0" fontId="18" fillId="0" borderId="0" xfId="0" applyFont="1"/>
    <xf numFmtId="0" fontId="20" fillId="0" borderId="0" xfId="0" applyFont="1"/>
    <xf numFmtId="0" fontId="19" fillId="6" borderId="0" xfId="0" applyFont="1" applyFill="1"/>
    <xf numFmtId="0" fontId="21" fillId="5" borderId="0" xfId="0" applyFont="1" applyFill="1"/>
    <xf numFmtId="0" fontId="20" fillId="0" borderId="0" xfId="0" applyFont="1" applyFill="1"/>
    <xf numFmtId="0" fontId="22" fillId="0" borderId="0" xfId="0" applyFont="1"/>
    <xf numFmtId="0" fontId="19" fillId="7" borderId="0" xfId="0" applyFont="1" applyFill="1"/>
    <xf numFmtId="0" fontId="14" fillId="7" borderId="0" xfId="0" applyFont="1" applyFill="1"/>
    <xf numFmtId="164" fontId="14" fillId="7" borderId="0" xfId="1" applyNumberFormat="1" applyFont="1" applyFill="1" applyBorder="1"/>
    <xf numFmtId="0" fontId="21" fillId="0" borderId="0" xfId="0" applyFont="1"/>
    <xf numFmtId="0" fontId="19" fillId="12" borderId="0" xfId="0" applyFont="1" applyFill="1"/>
    <xf numFmtId="0" fontId="14" fillId="12" borderId="0" xfId="0" applyFont="1" applyFill="1"/>
    <xf numFmtId="164" fontId="14" fillId="12" borderId="0" xfId="1" applyNumberFormat="1" applyFont="1" applyFill="1" applyBorder="1"/>
    <xf numFmtId="0" fontId="19" fillId="8" borderId="0" xfId="0" applyFont="1" applyFill="1"/>
    <xf numFmtId="0" fontId="14" fillId="8" borderId="0" xfId="0" applyFont="1" applyFill="1"/>
    <xf numFmtId="164" fontId="14" fillId="8" borderId="0" xfId="1" applyNumberFormat="1" applyFont="1" applyFill="1" applyBorder="1"/>
    <xf numFmtId="0" fontId="16" fillId="3" borderId="0" xfId="0" applyFont="1" applyFill="1"/>
    <xf numFmtId="164" fontId="16" fillId="3" borderId="0" xfId="1" applyNumberFormat="1" applyFont="1" applyFill="1" applyBorder="1"/>
    <xf numFmtId="164" fontId="14" fillId="0" borderId="0" xfId="1" applyNumberFormat="1" applyFont="1" applyBorder="1"/>
    <xf numFmtId="164" fontId="13" fillId="0" borderId="0" xfId="0" applyNumberFormat="1" applyFont="1"/>
    <xf numFmtId="0" fontId="14" fillId="11" borderId="0" xfId="0" applyFont="1" applyFill="1"/>
    <xf numFmtId="164" fontId="14" fillId="11" borderId="0" xfId="1" applyNumberFormat="1" applyFont="1" applyFill="1" applyBorder="1"/>
    <xf numFmtId="0" fontId="17" fillId="0" borderId="0" xfId="0" applyFont="1" applyAlignment="1">
      <alignment horizontal="right"/>
    </xf>
    <xf numFmtId="0" fontId="14" fillId="5" borderId="0" xfId="0" applyFont="1" applyFill="1"/>
    <xf numFmtId="164" fontId="17" fillId="11" borderId="0" xfId="1" applyNumberFormat="1" applyFont="1" applyFill="1" applyBorder="1"/>
    <xf numFmtId="164" fontId="14" fillId="5" borderId="0" xfId="1" applyNumberFormat="1" applyFont="1" applyFill="1" applyBorder="1"/>
    <xf numFmtId="9" fontId="14" fillId="6" borderId="0" xfId="3" applyFont="1" applyFill="1" applyBorder="1"/>
    <xf numFmtId="0" fontId="14" fillId="9" borderId="0" xfId="0" applyFont="1" applyFill="1"/>
    <xf numFmtId="164" fontId="14" fillId="9" borderId="0" xfId="1" applyNumberFormat="1" applyFont="1" applyFill="1" applyBorder="1"/>
    <xf numFmtId="0" fontId="13" fillId="0" borderId="3" xfId="0" applyFont="1" applyBorder="1"/>
    <xf numFmtId="164" fontId="13" fillId="0" borderId="3" xfId="1" applyNumberFormat="1" applyFont="1" applyBorder="1"/>
    <xf numFmtId="0" fontId="13" fillId="0" borderId="4" xfId="0" applyFont="1" applyBorder="1"/>
    <xf numFmtId="164" fontId="13" fillId="0" borderId="4" xfId="1" applyNumberFormat="1" applyFont="1" applyBorder="1"/>
    <xf numFmtId="0" fontId="13" fillId="10" borderId="0" xfId="0" applyFont="1" applyFill="1" applyBorder="1"/>
    <xf numFmtId="164" fontId="15" fillId="10" borderId="0" xfId="1" applyNumberFormat="1" applyFont="1" applyFill="1" applyBorder="1" applyAlignment="1">
      <alignment horizontal="center"/>
    </xf>
    <xf numFmtId="0" fontId="13" fillId="10" borderId="3" xfId="0" applyFont="1" applyFill="1" applyBorder="1"/>
    <xf numFmtId="0" fontId="2" fillId="0" borderId="0" xfId="0" applyNumberFormat="1" applyFont="1" applyFill="1"/>
    <xf numFmtId="164" fontId="0" fillId="0" borderId="0" xfId="0" applyNumberFormat="1" applyFill="1"/>
    <xf numFmtId="164" fontId="0" fillId="0" borderId="0" xfId="1" applyNumberFormat="1" applyFont="1" applyFill="1"/>
    <xf numFmtId="0" fontId="23" fillId="0" borderId="0" xfId="7" applyFont="1" applyAlignment="1">
      <alignment horizontal="center"/>
    </xf>
    <xf numFmtId="0" fontId="14" fillId="0" borderId="0" xfId="7" applyFont="1" applyAlignment="1">
      <alignment vertical="center"/>
    </xf>
    <xf numFmtId="0" fontId="13" fillId="0" borderId="0" xfId="7" applyFont="1" applyAlignment="1">
      <alignment horizontal="center" vertical="center"/>
    </xf>
    <xf numFmtId="0" fontId="17" fillId="0" borderId="0" xfId="7" applyFont="1" applyAlignment="1">
      <alignment horizontal="right" vertical="center"/>
    </xf>
    <xf numFmtId="0" fontId="13" fillId="13" borderId="16" xfId="7" applyFont="1" applyFill="1" applyBorder="1"/>
    <xf numFmtId="0" fontId="14" fillId="0" borderId="5" xfId="7" applyNumberFormat="1" applyFont="1" applyBorder="1" applyAlignment="1">
      <alignment horizontal="center" vertical="center"/>
    </xf>
    <xf numFmtId="0" fontId="13" fillId="13" borderId="17" xfId="7" applyFont="1" applyFill="1" applyBorder="1"/>
    <xf numFmtId="0" fontId="18" fillId="0" borderId="0" xfId="7" applyFont="1" applyAlignment="1">
      <alignment vertical="center"/>
    </xf>
    <xf numFmtId="0" fontId="18" fillId="0" borderId="0" xfId="7" applyFont="1" applyAlignment="1">
      <alignment horizontal="center" vertical="center"/>
    </xf>
    <xf numFmtId="0" fontId="19" fillId="0" borderId="5" xfId="7" quotePrefix="1" applyFont="1" applyBorder="1" applyAlignment="1">
      <alignment horizontal="center" vertical="center"/>
    </xf>
    <xf numFmtId="0" fontId="18" fillId="0" borderId="0" xfId="7" applyFont="1" applyBorder="1"/>
    <xf numFmtId="0" fontId="16" fillId="3" borderId="0" xfId="7" applyFont="1" applyFill="1" applyAlignment="1">
      <alignment horizontal="center" vertical="center"/>
    </xf>
    <xf numFmtId="0" fontId="16" fillId="3" borderId="0" xfId="7" applyFont="1" applyFill="1" applyAlignment="1">
      <alignment horizontal="center" vertical="center" wrapText="1"/>
    </xf>
    <xf numFmtId="164" fontId="24" fillId="13" borderId="5" xfId="8" applyNumberFormat="1" applyFont="1" applyFill="1" applyBorder="1" applyAlignment="1">
      <alignment horizontal="center" vertical="center" wrapText="1"/>
    </xf>
    <xf numFmtId="0" fontId="18" fillId="0" borderId="0" xfId="7" applyFont="1" applyAlignment="1">
      <alignment horizontal="justify" vertical="center"/>
    </xf>
    <xf numFmtId="0" fontId="14" fillId="13" borderId="16" xfId="7" applyFont="1" applyFill="1" applyBorder="1"/>
    <xf numFmtId="0" fontId="25" fillId="0" borderId="0" xfId="7" applyFont="1" applyAlignment="1">
      <alignment horizontal="center"/>
    </xf>
    <xf numFmtId="0" fontId="19" fillId="0" borderId="0" xfId="7" applyFont="1" applyAlignment="1">
      <alignment vertical="center"/>
    </xf>
    <xf numFmtId="0" fontId="19" fillId="0" borderId="0" xfId="7" applyFont="1" applyAlignment="1">
      <alignment horizontal="center" vertical="center"/>
    </xf>
    <xf numFmtId="41" fontId="19" fillId="0" borderId="0" xfId="6" applyFont="1" applyAlignment="1">
      <alignment horizontal="left" vertical="center"/>
    </xf>
    <xf numFmtId="0" fontId="19" fillId="0" borderId="0" xfId="7" applyFont="1" applyBorder="1"/>
    <xf numFmtId="164" fontId="14" fillId="13" borderId="16" xfId="7" applyNumberFormat="1" applyFont="1" applyFill="1" applyBorder="1"/>
    <xf numFmtId="41" fontId="14" fillId="13" borderId="16" xfId="7" applyNumberFormat="1" applyFont="1" applyFill="1" applyBorder="1"/>
    <xf numFmtId="0" fontId="26" fillId="0" borderId="0" xfId="7" applyFont="1" applyAlignment="1">
      <alignment vertical="center"/>
    </xf>
    <xf numFmtId="0" fontId="18" fillId="0" borderId="0" xfId="7" applyFont="1" applyBorder="1" applyAlignment="1">
      <alignment horizontal="center"/>
    </xf>
    <xf numFmtId="41" fontId="18" fillId="0" borderId="0" xfId="6" applyFont="1" applyAlignment="1">
      <alignment horizontal="left" vertical="center"/>
    </xf>
    <xf numFmtId="0" fontId="18" fillId="0" borderId="0" xfId="7" applyFont="1" applyAlignment="1">
      <alignment horizontal="left" vertical="center"/>
    </xf>
    <xf numFmtId="41" fontId="18" fillId="0" borderId="3" xfId="6" applyFont="1" applyBorder="1" applyAlignment="1">
      <alignment horizontal="left" vertical="center"/>
    </xf>
    <xf numFmtId="0" fontId="26" fillId="0" borderId="0" xfId="7" applyFont="1" applyAlignment="1">
      <alignment horizontal="left" vertical="center"/>
    </xf>
    <xf numFmtId="0" fontId="22" fillId="0" borderId="0" xfId="7" applyFont="1" applyAlignment="1">
      <alignment horizontal="center" vertical="center"/>
    </xf>
    <xf numFmtId="0" fontId="18" fillId="0" borderId="0" xfId="7" applyFont="1" applyAlignment="1">
      <alignment vertical="center" wrapText="1"/>
    </xf>
    <xf numFmtId="0" fontId="18" fillId="0" borderId="0" xfId="7" applyFont="1" applyAlignment="1"/>
    <xf numFmtId="41" fontId="18" fillId="0" borderId="0" xfId="6" applyFont="1" applyBorder="1" applyAlignment="1">
      <alignment horizontal="left" vertical="center"/>
    </xf>
    <xf numFmtId="0" fontId="19" fillId="0" borderId="0" xfId="7" applyFont="1"/>
    <xf numFmtId="0" fontId="18" fillId="0" borderId="0" xfId="7" applyFont="1"/>
    <xf numFmtId="0" fontId="13" fillId="0" borderId="0" xfId="7" applyFont="1"/>
    <xf numFmtId="0" fontId="14" fillId="0" borderId="0" xfId="7" applyFont="1"/>
    <xf numFmtId="0" fontId="18" fillId="0" borderId="0" xfId="7" applyFont="1" applyAlignment="1">
      <alignment horizontal="center"/>
    </xf>
    <xf numFmtId="0" fontId="19" fillId="0" borderId="0" xfId="7" applyFont="1" applyAlignment="1"/>
    <xf numFmtId="0" fontId="19" fillId="0" borderId="0" xfId="7" applyFont="1" applyAlignment="1">
      <alignment horizontal="center"/>
    </xf>
    <xf numFmtId="0" fontId="14" fillId="0" borderId="0" xfId="7" applyFont="1" applyAlignment="1"/>
    <xf numFmtId="0" fontId="14" fillId="0" borderId="0" xfId="7" applyFont="1" applyAlignment="1">
      <alignment horizontal="center"/>
    </xf>
    <xf numFmtId="41" fontId="15" fillId="10" borderId="0" xfId="6" applyFont="1" applyFill="1" applyAlignment="1">
      <alignment horizontal="center" vertical="center"/>
    </xf>
    <xf numFmtId="0" fontId="27" fillId="0" borderId="0" xfId="0" applyFont="1"/>
    <xf numFmtId="0" fontId="13" fillId="0" borderId="0" xfId="7" applyFont="1" applyAlignment="1"/>
    <xf numFmtId="0" fontId="13" fillId="0" borderId="0" xfId="7" applyFont="1" applyAlignment="1">
      <alignment horizontal="center"/>
    </xf>
    <xf numFmtId="0" fontId="13" fillId="13" borderId="0" xfId="0" applyFont="1" applyFill="1" applyBorder="1"/>
    <xf numFmtId="164" fontId="24" fillId="13" borderId="5" xfId="1" applyNumberFormat="1" applyFont="1" applyFill="1" applyBorder="1" applyAlignment="1">
      <alignment horizontal="center" vertical="center" wrapText="1"/>
    </xf>
    <xf numFmtId="164" fontId="13" fillId="13" borderId="0" xfId="0" applyNumberFormat="1" applyFont="1" applyFill="1" applyBorder="1"/>
    <xf numFmtId="0" fontId="14" fillId="13" borderId="0" xfId="0" applyFont="1" applyFill="1" applyBorder="1"/>
    <xf numFmtId="164" fontId="14" fillId="13" borderId="0" xfId="0" applyNumberFormat="1" applyFont="1" applyFill="1" applyBorder="1"/>
    <xf numFmtId="43" fontId="14" fillId="13" borderId="0" xfId="0" applyNumberFormat="1" applyFont="1" applyFill="1" applyBorder="1"/>
    <xf numFmtId="0" fontId="28" fillId="0" borderId="0" xfId="0" applyFont="1" applyAlignment="1">
      <alignment vertical="center"/>
    </xf>
    <xf numFmtId="0" fontId="12" fillId="0" borderId="0" xfId="0" applyFont="1" applyAlignment="1">
      <alignment vertical="center"/>
    </xf>
    <xf numFmtId="0" fontId="28" fillId="0" borderId="0" xfId="0" applyFont="1" applyAlignment="1">
      <alignment horizontal="center" vertical="center"/>
    </xf>
    <xf numFmtId="0" fontId="29" fillId="14" borderId="0" xfId="0" applyFont="1" applyFill="1" applyAlignment="1">
      <alignment horizontal="center" vertical="center" textRotation="90"/>
    </xf>
    <xf numFmtId="164" fontId="30" fillId="0" borderId="0" xfId="1" applyNumberFormat="1" applyFont="1" applyAlignment="1">
      <alignment horizontal="right" vertical="center"/>
    </xf>
    <xf numFmtId="164" fontId="30" fillId="0" borderId="0" xfId="1" applyNumberFormat="1" applyFont="1" applyBorder="1" applyAlignment="1">
      <alignment horizontal="right" vertical="center"/>
    </xf>
    <xf numFmtId="0" fontId="28" fillId="13" borderId="0" xfId="0" applyFont="1" applyFill="1" applyBorder="1"/>
    <xf numFmtId="0" fontId="28" fillId="0" borderId="0" xfId="0" applyFont="1"/>
    <xf numFmtId="0" fontId="31" fillId="0" borderId="0" xfId="0" applyFont="1" applyAlignment="1">
      <alignment horizontal="left" vertical="center"/>
    </xf>
    <xf numFmtId="0" fontId="28" fillId="14" borderId="0" xfId="0" applyFont="1" applyFill="1" applyAlignment="1">
      <alignment horizontal="center" vertical="center" textRotation="90"/>
    </xf>
    <xf numFmtId="164" fontId="12" fillId="0" borderId="15" xfId="1" applyNumberFormat="1" applyFont="1" applyBorder="1" applyAlignment="1">
      <alignment horizontal="center" vertical="center"/>
    </xf>
    <xf numFmtId="164" fontId="12" fillId="0" borderId="0" xfId="1" applyNumberFormat="1" applyFont="1" applyBorder="1" applyAlignment="1">
      <alignment horizontal="center" vertical="center"/>
    </xf>
    <xf numFmtId="0" fontId="28" fillId="14" borderId="0" xfId="0" applyFont="1" applyFill="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textRotation="90" wrapText="1"/>
    </xf>
    <xf numFmtId="164" fontId="29" fillId="3" borderId="3" xfId="1" applyNumberFormat="1" applyFont="1" applyFill="1" applyBorder="1" applyAlignment="1">
      <alignment horizontal="center" vertical="center" wrapText="1"/>
    </xf>
    <xf numFmtId="164" fontId="29" fillId="3" borderId="0" xfId="1" applyNumberFormat="1" applyFont="1" applyFill="1" applyBorder="1" applyAlignment="1">
      <alignment horizontal="center" vertical="center" wrapText="1"/>
    </xf>
    <xf numFmtId="164" fontId="32" fillId="13" borderId="5" xfId="1" applyNumberFormat="1" applyFont="1" applyFill="1" applyBorder="1" applyAlignment="1">
      <alignment horizontal="center" vertical="center" wrapText="1"/>
    </xf>
    <xf numFmtId="164" fontId="28" fillId="0" borderId="0" xfId="1" applyNumberFormat="1" applyFont="1" applyAlignment="1">
      <alignment vertical="center"/>
    </xf>
    <xf numFmtId="164" fontId="28" fillId="0" borderId="0" xfId="1" applyNumberFormat="1" applyFont="1" applyBorder="1" applyAlignment="1">
      <alignment vertical="center"/>
    </xf>
    <xf numFmtId="164" fontId="28" fillId="13" borderId="0" xfId="0" applyNumberFormat="1" applyFont="1" applyFill="1" applyBorder="1"/>
    <xf numFmtId="0" fontId="28" fillId="4" borderId="0" xfId="0" applyFont="1" applyFill="1" applyAlignment="1">
      <alignment vertical="center"/>
    </xf>
    <xf numFmtId="0" fontId="12" fillId="13" borderId="0" xfId="0" applyFont="1" applyFill="1" applyBorder="1"/>
    <xf numFmtId="0" fontId="12" fillId="0" borderId="0" xfId="0" applyFont="1" applyAlignment="1">
      <alignment horizontal="center" vertical="center"/>
    </xf>
    <xf numFmtId="164" fontId="28" fillId="0" borderId="0" xfId="1" applyNumberFormat="1" applyFont="1" applyAlignment="1">
      <alignment horizontal="center" vertical="center"/>
    </xf>
    <xf numFmtId="164" fontId="12" fillId="0" borderId="0" xfId="1" applyNumberFormat="1" applyFont="1" applyAlignment="1">
      <alignment vertical="center"/>
    </xf>
    <xf numFmtId="164" fontId="12" fillId="0" borderId="0" xfId="1" applyNumberFormat="1" applyFont="1" applyBorder="1" applyAlignment="1">
      <alignment vertical="center"/>
    </xf>
    <xf numFmtId="164" fontId="12" fillId="13" borderId="0" xfId="0" applyNumberFormat="1" applyFont="1" applyFill="1" applyBorder="1"/>
    <xf numFmtId="0" fontId="28" fillId="0" borderId="0" xfId="0" applyFont="1" applyAlignment="1">
      <alignment horizontal="left" vertical="center"/>
    </xf>
    <xf numFmtId="164" fontId="28" fillId="0" borderId="0" xfId="0" applyNumberFormat="1" applyFont="1" applyAlignment="1">
      <alignment vertical="center"/>
    </xf>
    <xf numFmtId="164" fontId="28" fillId="0" borderId="0" xfId="1" applyNumberFormat="1" applyFont="1" applyFill="1" applyBorder="1" applyAlignment="1">
      <alignment vertical="center"/>
    </xf>
    <xf numFmtId="164" fontId="28" fillId="0" borderId="0" xfId="1" applyNumberFormat="1" applyFont="1" applyFill="1" applyAlignment="1">
      <alignment vertical="center"/>
    </xf>
    <xf numFmtId="164" fontId="12" fillId="0" borderId="0" xfId="1" applyNumberFormat="1" applyFont="1" applyAlignment="1">
      <alignment horizontal="center" vertical="center"/>
    </xf>
    <xf numFmtId="43" fontId="12" fillId="13" borderId="0" xfId="0" applyNumberFormat="1" applyFont="1" applyFill="1" applyBorder="1"/>
    <xf numFmtId="0" fontId="33" fillId="0" borderId="0" xfId="0" applyFont="1" applyAlignment="1">
      <alignment horizontal="left" vertical="center"/>
    </xf>
    <xf numFmtId="0" fontId="33" fillId="0" borderId="0" xfId="0" applyFont="1" applyAlignment="1">
      <alignment horizontal="center" vertical="center"/>
    </xf>
    <xf numFmtId="164" fontId="33" fillId="0" borderId="0" xfId="1" applyNumberFormat="1" applyFont="1" applyAlignment="1">
      <alignment vertical="center"/>
    </xf>
    <xf numFmtId="164" fontId="12" fillId="0" borderId="2" xfId="1" applyNumberFormat="1" applyFont="1" applyBorder="1" applyAlignment="1">
      <alignment vertical="center"/>
    </xf>
    <xf numFmtId="164" fontId="12" fillId="0" borderId="0" xfId="1" applyNumberFormat="1" applyFont="1" applyFill="1" applyAlignment="1">
      <alignment vertical="center"/>
    </xf>
    <xf numFmtId="0" fontId="34" fillId="0" borderId="0" xfId="0" applyFont="1" applyAlignment="1">
      <alignment vertical="center"/>
    </xf>
    <xf numFmtId="0" fontId="33" fillId="0" borderId="0" xfId="0" quotePrefix="1" applyFont="1" applyAlignment="1">
      <alignment horizontal="left" vertical="center"/>
    </xf>
    <xf numFmtId="164" fontId="33" fillId="0" borderId="0" xfId="0" quotePrefix="1" applyNumberFormat="1" applyFont="1" applyAlignment="1">
      <alignment horizontal="left" vertical="center"/>
    </xf>
    <xf numFmtId="164" fontId="33" fillId="0" borderId="0" xfId="1" applyNumberFormat="1" applyFont="1" applyFill="1" applyAlignment="1">
      <alignment vertical="center"/>
    </xf>
    <xf numFmtId="43" fontId="28" fillId="0" borderId="0" xfId="1" applyNumberFormat="1" applyFont="1" applyAlignment="1">
      <alignment vertical="center"/>
    </xf>
    <xf numFmtId="43" fontId="28" fillId="0" borderId="0" xfId="1" applyNumberFormat="1" applyFont="1" applyBorder="1" applyAlignment="1">
      <alignment vertical="center"/>
    </xf>
    <xf numFmtId="0" fontId="16" fillId="15" borderId="0" xfId="0" applyFont="1" applyFill="1" applyAlignment="1">
      <alignment horizontal="center" vertical="center" textRotation="90"/>
    </xf>
    <xf numFmtId="0" fontId="35" fillId="0" borderId="0" xfId="0" applyFont="1" applyAlignment="1">
      <alignment horizontal="right"/>
    </xf>
    <xf numFmtId="0" fontId="13" fillId="15" borderId="0" xfId="0" applyFont="1" applyFill="1"/>
    <xf numFmtId="0" fontId="14" fillId="0" borderId="5" xfId="0" applyFont="1" applyBorder="1" applyAlignment="1">
      <alignment horizontal="center"/>
    </xf>
    <xf numFmtId="0" fontId="14" fillId="0" borderId="0" xfId="0" applyFont="1" applyBorder="1" applyAlignment="1">
      <alignment horizontal="center"/>
    </xf>
    <xf numFmtId="0" fontId="18" fillId="15" borderId="0" xfId="0" applyFont="1" applyFill="1"/>
    <xf numFmtId="0" fontId="19" fillId="0" borderId="5" xfId="0" quotePrefix="1" applyFont="1" applyBorder="1" applyAlignment="1">
      <alignment horizontal="center"/>
    </xf>
    <xf numFmtId="0" fontId="19" fillId="0" borderId="0" xfId="0" quotePrefix="1" applyFont="1" applyBorder="1" applyAlignment="1">
      <alignment horizontal="center"/>
    </xf>
    <xf numFmtId="0" fontId="16" fillId="3" borderId="0" xfId="0" applyFont="1" applyFill="1" applyAlignment="1">
      <alignment horizontal="center" vertical="center"/>
    </xf>
    <xf numFmtId="0" fontId="16" fillId="3" borderId="0" xfId="0" applyFont="1" applyFill="1" applyAlignment="1">
      <alignment horizontal="center" vertical="center" wrapText="1"/>
    </xf>
    <xf numFmtId="0" fontId="18" fillId="0" borderId="0" xfId="0" applyFont="1" applyAlignment="1">
      <alignment horizontal="justify"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xf>
    <xf numFmtId="164" fontId="18" fillId="0" borderId="0" xfId="1" applyNumberFormat="1" applyFont="1" applyAlignment="1">
      <alignment horizontal="center" vertical="center"/>
    </xf>
    <xf numFmtId="164" fontId="18" fillId="0" borderId="0" xfId="1" applyNumberFormat="1" applyFont="1" applyAlignment="1">
      <alignment horizontal="left" vertical="center"/>
    </xf>
    <xf numFmtId="164" fontId="19" fillId="0" borderId="0" xfId="1" applyNumberFormat="1" applyFont="1" applyAlignment="1">
      <alignment horizontal="left" vertical="center"/>
    </xf>
    <xf numFmtId="164" fontId="18" fillId="0" borderId="3" xfId="1" applyNumberFormat="1" applyFont="1" applyBorder="1" applyAlignment="1">
      <alignment horizontal="left" vertical="center"/>
    </xf>
    <xf numFmtId="0" fontId="19" fillId="0" borderId="0" xfId="0" applyFont="1" applyAlignment="1">
      <alignment horizontal="justify" vertical="center"/>
    </xf>
    <xf numFmtId="0" fontId="19" fillId="0" borderId="0" xfId="0" applyFont="1" applyAlignment="1">
      <alignment horizontal="justify" vertical="center" wrapText="1"/>
    </xf>
    <xf numFmtId="164" fontId="18" fillId="0" borderId="0" xfId="1" applyNumberFormat="1" applyFont="1" applyBorder="1" applyAlignment="1">
      <alignment horizontal="left" vertical="center"/>
    </xf>
    <xf numFmtId="164" fontId="19" fillId="0" borderId="0" xfId="1" applyNumberFormat="1" applyFont="1" applyFill="1" applyAlignment="1">
      <alignment horizontal="left" vertical="center"/>
    </xf>
    <xf numFmtId="164" fontId="19" fillId="0" borderId="3" xfId="1" applyNumberFormat="1" applyFont="1" applyBorder="1" applyAlignment="1">
      <alignment horizontal="left" vertical="center"/>
    </xf>
    <xf numFmtId="164" fontId="19" fillId="0" borderId="0" xfId="1" applyNumberFormat="1" applyFont="1" applyBorder="1" applyAlignment="1">
      <alignment horizontal="left" vertical="center"/>
    </xf>
    <xf numFmtId="0" fontId="18" fillId="0" borderId="0" xfId="0" applyFont="1" applyAlignment="1">
      <alignment horizontal="left" vertical="center" wrapText="1" indent="2"/>
    </xf>
    <xf numFmtId="0" fontId="22" fillId="0" borderId="0" xfId="0" applyFont="1" applyAlignment="1">
      <alignment horizontal="left" vertical="center"/>
    </xf>
    <xf numFmtId="0" fontId="22" fillId="0" borderId="0" xfId="0" applyFont="1" applyAlignment="1">
      <alignment horizontal="left" vertical="center" wrapText="1" indent="4"/>
    </xf>
    <xf numFmtId="0" fontId="22" fillId="0" borderId="0" xfId="0" applyFont="1" applyAlignment="1">
      <alignment horizontal="center" vertical="center"/>
    </xf>
    <xf numFmtId="164" fontId="22" fillId="0" borderId="0" xfId="1" applyNumberFormat="1" applyFont="1" applyAlignment="1">
      <alignment horizontal="center" vertical="center"/>
    </xf>
    <xf numFmtId="164" fontId="22" fillId="0" borderId="0" xfId="1" applyNumberFormat="1" applyFont="1" applyAlignment="1">
      <alignment horizontal="left" vertical="center"/>
    </xf>
    <xf numFmtId="164" fontId="19" fillId="0" borderId="0" xfId="1" applyNumberFormat="1" applyFont="1" applyBorder="1" applyAlignment="1">
      <alignment vertical="center"/>
    </xf>
    <xf numFmtId="164" fontId="19" fillId="0" borderId="3" xfId="1" applyNumberFormat="1" applyFont="1" applyBorder="1" applyAlignment="1">
      <alignment vertical="center"/>
    </xf>
    <xf numFmtId="164" fontId="19" fillId="0" borderId="6" xfId="1" applyNumberFormat="1" applyFont="1" applyBorder="1" applyAlignment="1">
      <alignment horizontal="left" vertical="center"/>
    </xf>
    <xf numFmtId="0" fontId="14" fillId="13" borderId="0" xfId="0" applyFont="1" applyFill="1" applyBorder="1" applyAlignment="1"/>
    <xf numFmtId="0" fontId="18" fillId="0" borderId="0" xfId="0" applyFont="1" applyAlignment="1"/>
    <xf numFmtId="0" fontId="19" fillId="0" borderId="0" xfId="0" applyFont="1" applyAlignment="1">
      <alignment horizontal="left" vertical="center"/>
    </xf>
    <xf numFmtId="164" fontId="14" fillId="13" borderId="0" xfId="0" applyNumberFormat="1" applyFont="1" applyFill="1" applyBorder="1" applyAlignment="1"/>
    <xf numFmtId="164" fontId="19" fillId="0" borderId="7" xfId="1" applyNumberFormat="1" applyFont="1" applyBorder="1" applyAlignment="1">
      <alignment vertical="center"/>
    </xf>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center"/>
    </xf>
    <xf numFmtId="43" fontId="14" fillId="0" borderId="0" xfId="1" applyFont="1" applyAlignment="1">
      <alignment vertical="center"/>
    </xf>
    <xf numFmtId="0" fontId="12" fillId="19" borderId="0" xfId="0" applyFont="1" applyFill="1" applyAlignment="1">
      <alignment vertical="center"/>
    </xf>
    <xf numFmtId="0" fontId="28" fillId="19" borderId="0" xfId="0" applyFont="1" applyFill="1"/>
    <xf numFmtId="0" fontId="28" fillId="19" borderId="0" xfId="0" applyFont="1" applyFill="1" applyAlignment="1"/>
    <xf numFmtId="0" fontId="28" fillId="0" borderId="0" xfId="0" applyFont="1" applyAlignment="1">
      <alignment horizontal="center"/>
    </xf>
    <xf numFmtId="0" fontId="28" fillId="0" borderId="0" xfId="0" applyFont="1" applyAlignment="1"/>
    <xf numFmtId="0" fontId="28" fillId="0" borderId="0" xfId="0" applyFont="1" applyAlignment="1">
      <alignment horizontal="justify" vertical="center"/>
    </xf>
    <xf numFmtId="164" fontId="28" fillId="0" borderId="0" xfId="0" applyNumberFormat="1" applyFont="1" applyAlignment="1">
      <alignment horizontal="right" vertical="center"/>
    </xf>
    <xf numFmtId="3" fontId="28" fillId="0" borderId="0" xfId="0" applyNumberFormat="1" applyFont="1" applyAlignment="1">
      <alignment horizontal="right" vertical="center"/>
    </xf>
    <xf numFmtId="0" fontId="28" fillId="0" borderId="3" xfId="0" applyFont="1" applyBorder="1" applyAlignment="1">
      <alignment horizontal="right" vertical="center"/>
    </xf>
    <xf numFmtId="164" fontId="28" fillId="0" borderId="7" xfId="0" applyNumberFormat="1" applyFont="1" applyBorder="1" applyAlignment="1">
      <alignment horizontal="right" vertical="center"/>
    </xf>
    <xf numFmtId="3" fontId="28" fillId="0" borderId="0" xfId="0" applyNumberFormat="1" applyFont="1" applyBorder="1" applyAlignment="1">
      <alignment horizontal="center" vertical="center"/>
    </xf>
    <xf numFmtId="0" fontId="12" fillId="0" borderId="0" xfId="0" applyFont="1" applyFill="1" applyAlignment="1">
      <alignment vertical="center"/>
    </xf>
    <xf numFmtId="0" fontId="28" fillId="0" borderId="0" xfId="0" applyFont="1" applyFill="1"/>
    <xf numFmtId="0" fontId="28" fillId="0" borderId="0" xfId="0" applyFont="1" applyFill="1" applyAlignment="1"/>
    <xf numFmtId="0" fontId="28" fillId="0" borderId="0" xfId="0" applyFont="1" applyAlignment="1">
      <alignment horizontal="right" vertical="center"/>
    </xf>
    <xf numFmtId="3" fontId="28" fillId="0" borderId="0" xfId="0" applyNumberFormat="1" applyFont="1" applyAlignment="1">
      <alignment vertical="center"/>
    </xf>
    <xf numFmtId="164" fontId="28" fillId="0" borderId="0" xfId="1" applyNumberFormat="1" applyFont="1" applyAlignment="1">
      <alignment horizontal="right" vertical="center"/>
    </xf>
    <xf numFmtId="0" fontId="28" fillId="0" borderId="3" xfId="0" applyFont="1" applyBorder="1" applyAlignment="1">
      <alignment vertical="center"/>
    </xf>
    <xf numFmtId="164" fontId="28" fillId="0" borderId="0" xfId="0" applyNumberFormat="1" applyFont="1"/>
    <xf numFmtId="3" fontId="28" fillId="0" borderId="4" xfId="0" applyNumberFormat="1" applyFont="1" applyBorder="1" applyAlignment="1">
      <alignment vertical="center"/>
    </xf>
    <xf numFmtId="3" fontId="28" fillId="0" borderId="3" xfId="0" applyNumberFormat="1" applyFont="1" applyBorder="1" applyAlignment="1">
      <alignment horizontal="right" vertical="center"/>
    </xf>
    <xf numFmtId="3" fontId="28" fillId="0" borderId="0" xfId="0" applyNumberFormat="1" applyFont="1" applyFill="1" applyBorder="1" applyAlignment="1">
      <alignment vertical="center"/>
    </xf>
    <xf numFmtId="0" fontId="28" fillId="0" borderId="7" xfId="0" applyFont="1" applyBorder="1" applyAlignment="1">
      <alignment vertical="center"/>
    </xf>
    <xf numFmtId="0" fontId="28" fillId="0" borderId="7" xfId="0" applyFont="1" applyBorder="1" applyAlignment="1">
      <alignment horizontal="right" vertical="center"/>
    </xf>
    <xf numFmtId="0" fontId="12" fillId="0" borderId="0" xfId="0" applyFont="1" applyAlignment="1">
      <alignment horizontal="justify" vertical="center"/>
    </xf>
    <xf numFmtId="164" fontId="28" fillId="0" borderId="3" xfId="1" applyNumberFormat="1" applyFont="1" applyBorder="1" applyAlignment="1">
      <alignment vertical="center"/>
    </xf>
    <xf numFmtId="164" fontId="28" fillId="0" borderId="3" xfId="1" applyNumberFormat="1" applyFont="1" applyBorder="1" applyAlignment="1">
      <alignment horizontal="right" vertical="center"/>
    </xf>
    <xf numFmtId="164" fontId="28" fillId="0" borderId="6" xfId="1" applyNumberFormat="1" applyFont="1" applyBorder="1" applyAlignment="1">
      <alignment vertical="center"/>
    </xf>
    <xf numFmtId="164" fontId="28" fillId="0" borderId="11" xfId="0" applyNumberFormat="1" applyFont="1" applyBorder="1" applyAlignment="1">
      <alignment vertical="center"/>
    </xf>
    <xf numFmtId="164" fontId="28" fillId="0" borderId="11" xfId="0" applyNumberFormat="1" applyFont="1" applyBorder="1" applyAlignment="1">
      <alignment horizontal="right" vertical="center"/>
    </xf>
    <xf numFmtId="164" fontId="28" fillId="0" borderId="11" xfId="1" applyNumberFormat="1" applyFont="1" applyBorder="1" applyAlignment="1">
      <alignment horizontal="right" vertical="center"/>
    </xf>
    <xf numFmtId="0" fontId="12" fillId="0" borderId="0" xfId="0" applyFont="1" applyAlignment="1">
      <alignment horizontal="center" vertical="center"/>
    </xf>
    <xf numFmtId="0" fontId="28" fillId="0" borderId="13" xfId="0" applyFont="1" applyBorder="1" applyAlignment="1">
      <alignment vertical="center"/>
    </xf>
    <xf numFmtId="0" fontId="28" fillId="0" borderId="7" xfId="0" applyFont="1" applyBorder="1" applyAlignment="1">
      <alignment horizontal="left" vertical="center"/>
    </xf>
    <xf numFmtId="164" fontId="28" fillId="0" borderId="2" xfId="0" applyNumberFormat="1" applyFont="1" applyBorder="1" applyAlignment="1">
      <alignment horizontal="right" vertical="center"/>
    </xf>
    <xf numFmtId="0" fontId="28" fillId="0" borderId="0" xfId="0" applyFont="1" applyAlignment="1">
      <alignment vertical="center"/>
    </xf>
    <xf numFmtId="164" fontId="28" fillId="0" borderId="0" xfId="1" applyNumberFormat="1" applyFont="1" applyAlignment="1">
      <alignment horizontal="justify" vertical="center"/>
    </xf>
    <xf numFmtId="164" fontId="28" fillId="0" borderId="3" xfId="1" applyNumberFormat="1" applyFont="1" applyBorder="1" applyAlignment="1">
      <alignment horizontal="justify" vertical="center"/>
    </xf>
    <xf numFmtId="164" fontId="28" fillId="0" borderId="0" xfId="0" applyNumberFormat="1" applyFont="1" applyAlignment="1"/>
    <xf numFmtId="164" fontId="28" fillId="0" borderId="7" xfId="0" applyNumberFormat="1" applyFont="1" applyBorder="1" applyAlignment="1">
      <alignment horizontal="justify" vertical="center"/>
    </xf>
    <xf numFmtId="0" fontId="28" fillId="0" borderId="0" xfId="0" applyFont="1" applyFill="1" applyAlignment="1">
      <alignment vertical="center"/>
    </xf>
    <xf numFmtId="0" fontId="12" fillId="0" borderId="0" xfId="0" applyFont="1" applyAlignment="1"/>
    <xf numFmtId="164" fontId="28" fillId="0" borderId="0" xfId="1" applyNumberFormat="1" applyFont="1" applyAlignment="1"/>
    <xf numFmtId="0" fontId="36" fillId="0" borderId="0" xfId="0" applyFont="1" applyAlignment="1">
      <alignment vertical="center"/>
    </xf>
    <xf numFmtId="164" fontId="28" fillId="0" borderId="0" xfId="0" applyNumberFormat="1" applyFont="1" applyAlignment="1">
      <alignment horizontal="justify" vertical="center"/>
    </xf>
    <xf numFmtId="0" fontId="28" fillId="0" borderId="0" xfId="0" applyFont="1" applyBorder="1" applyAlignment="1">
      <alignment vertical="center"/>
    </xf>
    <xf numFmtId="0" fontId="28" fillId="0" borderId="0" xfId="0" applyFont="1" applyBorder="1"/>
    <xf numFmtId="0" fontId="28" fillId="0" borderId="0" xfId="0" applyFont="1" applyBorder="1" applyAlignment="1"/>
    <xf numFmtId="3" fontId="28" fillId="0" borderId="6" xfId="0" applyNumberFormat="1" applyFont="1" applyBorder="1" applyAlignment="1">
      <alignment vertical="center"/>
    </xf>
    <xf numFmtId="3" fontId="28" fillId="18" borderId="0" xfId="0" applyNumberFormat="1" applyFont="1" applyFill="1" applyAlignment="1"/>
    <xf numFmtId="164" fontId="28" fillId="18" borderId="0" xfId="1" applyNumberFormat="1" applyFont="1" applyFill="1"/>
    <xf numFmtId="3" fontId="28" fillId="0" borderId="3" xfId="0" applyNumberFormat="1" applyFont="1" applyBorder="1" applyAlignment="1">
      <alignment vertical="center"/>
    </xf>
    <xf numFmtId="164" fontId="28" fillId="0" borderId="3" xfId="0" applyNumberFormat="1" applyFont="1" applyBorder="1" applyAlignment="1">
      <alignment vertical="center"/>
    </xf>
    <xf numFmtId="0" fontId="28" fillId="18" borderId="0" xfId="0" applyFont="1" applyFill="1" applyAlignment="1"/>
    <xf numFmtId="164" fontId="28" fillId="0" borderId="0" xfId="0" applyNumberFormat="1" applyFont="1" applyAlignment="1">
      <alignment horizontal="center" vertical="center"/>
    </xf>
    <xf numFmtId="164" fontId="28" fillId="0" borderId="7" xfId="0" applyNumberFormat="1" applyFont="1" applyBorder="1" applyAlignment="1">
      <alignment horizontal="center" vertical="center"/>
    </xf>
    <xf numFmtId="164" fontId="28" fillId="0" borderId="0" xfId="0" applyNumberFormat="1" applyFont="1" applyBorder="1" applyAlignment="1">
      <alignment horizontal="center" vertical="center"/>
    </xf>
    <xf numFmtId="0" fontId="12" fillId="0" borderId="0" xfId="0" applyFont="1" applyAlignment="1">
      <alignment horizontal="center"/>
    </xf>
    <xf numFmtId="164" fontId="28" fillId="0" borderId="0" xfId="1" applyNumberFormat="1" applyFont="1" applyAlignment="1">
      <alignment horizontal="center"/>
    </xf>
    <xf numFmtId="164" fontId="28" fillId="0" borderId="2" xfId="0" applyNumberFormat="1" applyFont="1" applyBorder="1" applyAlignment="1"/>
    <xf numFmtId="164" fontId="28" fillId="0" borderId="0" xfId="0" applyNumberFormat="1" applyFont="1" applyBorder="1" applyAlignment="1"/>
    <xf numFmtId="0" fontId="37" fillId="0" borderId="0" xfId="0" applyFont="1" applyAlignment="1"/>
    <xf numFmtId="164" fontId="17" fillId="5" borderId="0" xfId="1" applyNumberFormat="1" applyFont="1" applyFill="1" applyBorder="1"/>
    <xf numFmtId="43" fontId="28" fillId="0" borderId="0" xfId="1" applyFont="1" applyAlignment="1">
      <alignment horizontal="right" vertical="center"/>
    </xf>
    <xf numFmtId="15" fontId="12" fillId="0" borderId="5" xfId="1" applyNumberFormat="1" applyFont="1" applyBorder="1" applyAlignment="1">
      <alignment horizontal="center" vertical="center"/>
    </xf>
    <xf numFmtId="0" fontId="28" fillId="0" borderId="0" xfId="0" applyFont="1" applyBorder="1" applyAlignment="1">
      <alignment horizontal="center" vertical="center"/>
    </xf>
    <xf numFmtId="165" fontId="28" fillId="0" borderId="0" xfId="1" applyNumberFormat="1" applyFont="1" applyBorder="1" applyAlignment="1">
      <alignment horizontal="center" vertical="center"/>
    </xf>
    <xf numFmtId="164" fontId="28" fillId="0" borderId="7" xfId="1" applyNumberFormat="1" applyFont="1" applyBorder="1" applyAlignment="1">
      <alignment horizontal="right" vertical="center"/>
    </xf>
    <xf numFmtId="164" fontId="7" fillId="0" borderId="0" xfId="1" applyNumberFormat="1" applyFont="1" applyAlignment="1">
      <alignment horizontal="center" vertical="center" wrapText="1"/>
    </xf>
    <xf numFmtId="164" fontId="28" fillId="0" borderId="0" xfId="1" applyNumberFormat="1" applyFont="1" applyFill="1"/>
    <xf numFmtId="15" fontId="12" fillId="0" borderId="0" xfId="0" applyNumberFormat="1" applyFont="1" applyAlignment="1">
      <alignment horizontal="center" vertical="center"/>
    </xf>
    <xf numFmtId="15" fontId="12" fillId="0" borderId="0" xfId="0" applyNumberFormat="1" applyFont="1" applyAlignment="1">
      <alignment horizontal="center"/>
    </xf>
    <xf numFmtId="15" fontId="28" fillId="0" borderId="0" xfId="0" applyNumberFormat="1" applyFont="1" applyAlignment="1"/>
    <xf numFmtId="164" fontId="18" fillId="0" borderId="0" xfId="0" applyNumberFormat="1" applyFont="1"/>
    <xf numFmtId="41" fontId="0" fillId="0" borderId="0" xfId="0" applyNumberFormat="1"/>
    <xf numFmtId="0" fontId="12"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justify" vertical="center"/>
    </xf>
    <xf numFmtId="0" fontId="12" fillId="0" borderId="0" xfId="0" applyFont="1" applyAlignment="1">
      <alignment vertical="center"/>
    </xf>
    <xf numFmtId="15" fontId="12" fillId="0" borderId="0" xfId="0" applyNumberFormat="1" applyFont="1" applyAlignment="1">
      <alignment horizontal="center" vertical="center"/>
    </xf>
    <xf numFmtId="0" fontId="28" fillId="0" borderId="7" xfId="0" applyFont="1" applyBorder="1" applyAlignment="1">
      <alignment horizontal="left" vertical="center"/>
    </xf>
    <xf numFmtId="0" fontId="39" fillId="0" borderId="0" xfId="12" applyFont="1" applyAlignment="1">
      <alignment vertical="center"/>
    </xf>
    <xf numFmtId="0" fontId="40" fillId="0" borderId="0" xfId="12" applyFont="1" applyAlignment="1">
      <alignment vertical="center"/>
    </xf>
    <xf numFmtId="0" fontId="39" fillId="0" borderId="0" xfId="12" applyFont="1" applyAlignment="1">
      <alignment horizontal="center" vertical="center" wrapText="1"/>
    </xf>
    <xf numFmtId="0" fontId="39" fillId="20" borderId="0" xfId="12" applyFont="1" applyFill="1" applyBorder="1" applyAlignment="1">
      <alignment vertical="center"/>
    </xf>
    <xf numFmtId="164" fontId="39" fillId="0" borderId="0" xfId="12" applyNumberFormat="1" applyFont="1" applyAlignment="1">
      <alignment vertical="center"/>
    </xf>
    <xf numFmtId="41" fontId="41" fillId="0" borderId="0" xfId="12" applyNumberFormat="1" applyFont="1" applyAlignment="1">
      <alignment horizontal="right" vertical="center"/>
    </xf>
    <xf numFmtId="0" fontId="42" fillId="0" borderId="0" xfId="12" applyFont="1" applyAlignment="1"/>
    <xf numFmtId="0" fontId="41" fillId="0" borderId="0" xfId="12" applyFont="1" applyAlignment="1">
      <alignment vertical="center"/>
    </xf>
    <xf numFmtId="164" fontId="45" fillId="0" borderId="0" xfId="12" applyNumberFormat="1" applyFont="1" applyAlignment="1">
      <alignment horizontal="right" vertical="center"/>
    </xf>
    <xf numFmtId="0" fontId="44" fillId="0" borderId="0" xfId="12" applyFont="1" applyAlignment="1">
      <alignment horizontal="center" vertical="center"/>
    </xf>
    <xf numFmtId="0" fontId="44" fillId="0" borderId="0" xfId="12" applyFont="1" applyAlignment="1">
      <alignment horizontal="center" vertical="center" wrapText="1"/>
    </xf>
    <xf numFmtId="0" fontId="46" fillId="0" borderId="0" xfId="12" applyFont="1"/>
    <xf numFmtId="0" fontId="46" fillId="0" borderId="0" xfId="12" applyFont="1" applyAlignment="1">
      <alignment horizontal="center" wrapText="1"/>
    </xf>
    <xf numFmtId="164" fontId="46" fillId="0" borderId="0" xfId="12" applyNumberFormat="1" applyFont="1"/>
    <xf numFmtId="2" fontId="46" fillId="0" borderId="0" xfId="12" applyNumberFormat="1" applyFont="1" applyAlignment="1">
      <alignment vertical="center"/>
    </xf>
    <xf numFmtId="2" fontId="47" fillId="21" borderId="22" xfId="12" applyNumberFormat="1" applyFont="1" applyFill="1" applyBorder="1" applyAlignment="1">
      <alignment horizontal="center" vertical="center"/>
    </xf>
    <xf numFmtId="0" fontId="46" fillId="0" borderId="22" xfId="12" applyFont="1" applyBorder="1"/>
    <xf numFmtId="164" fontId="46" fillId="0" borderId="22" xfId="12" applyNumberFormat="1" applyFont="1" applyBorder="1" applyAlignment="1">
      <alignment vertical="center"/>
    </xf>
    <xf numFmtId="0" fontId="46" fillId="0" borderId="22" xfId="12" applyFont="1" applyBorder="1" applyAlignment="1">
      <alignment horizontal="center" wrapText="1"/>
    </xf>
    <xf numFmtId="0" fontId="40" fillId="10" borderId="19" xfId="12" applyFont="1" applyFill="1" applyBorder="1"/>
    <xf numFmtId="0" fontId="40" fillId="10" borderId="22" xfId="12" applyFont="1" applyFill="1" applyBorder="1"/>
    <xf numFmtId="0" fontId="47" fillId="10" borderId="22" xfId="12" applyFont="1" applyFill="1" applyBorder="1"/>
    <xf numFmtId="0" fontId="40" fillId="10" borderId="22" xfId="12" applyFont="1" applyFill="1" applyBorder="1" applyAlignment="1">
      <alignment horizontal="center" wrapText="1"/>
    </xf>
    <xf numFmtId="164" fontId="47" fillId="10" borderId="22" xfId="12" applyNumberFormat="1" applyFont="1" applyFill="1" applyBorder="1"/>
    <xf numFmtId="0" fontId="40" fillId="0" borderId="0" xfId="12" applyFont="1" applyAlignment="1">
      <alignment horizontal="center"/>
    </xf>
    <xf numFmtId="164" fontId="42" fillId="0" borderId="0" xfId="12" applyNumberFormat="1" applyFont="1" applyAlignment="1"/>
    <xf numFmtId="43" fontId="2" fillId="0" borderId="0" xfId="1" applyFont="1" applyFill="1"/>
    <xf numFmtId="15" fontId="4" fillId="3" borderId="0" xfId="1" applyNumberFormat="1" applyFont="1" applyFill="1" applyBorder="1" applyAlignment="1">
      <alignment horizontal="center" vertical="center"/>
    </xf>
    <xf numFmtId="0" fontId="28" fillId="0" borderId="0" xfId="0" applyFont="1" applyAlignment="1">
      <alignment vertical="center"/>
    </xf>
    <xf numFmtId="0" fontId="28" fillId="0" borderId="0" xfId="0" applyFont="1" applyAlignment="1">
      <alignment horizontal="justify" vertical="center"/>
    </xf>
    <xf numFmtId="43" fontId="28" fillId="0" borderId="0" xfId="1" applyFont="1"/>
    <xf numFmtId="14" fontId="12" fillId="0" borderId="0" xfId="0" quotePrefix="1" applyNumberFormat="1" applyFont="1" applyAlignment="1">
      <alignment horizontal="center" vertical="center"/>
    </xf>
    <xf numFmtId="164" fontId="28" fillId="0" borderId="2" xfId="1" applyNumberFormat="1" applyFont="1" applyBorder="1" applyAlignment="1">
      <alignment horizontal="right" vertical="center"/>
    </xf>
    <xf numFmtId="0" fontId="12" fillId="0" borderId="0" xfId="0" applyFont="1" applyAlignment="1">
      <alignment horizontal="center" vertical="center" wrapText="1"/>
    </xf>
    <xf numFmtId="9" fontId="2" fillId="0" borderId="0" xfId="0" applyNumberFormat="1" applyFont="1" applyFill="1"/>
    <xf numFmtId="0" fontId="28" fillId="0" borderId="0" xfId="0" applyFont="1" applyAlignment="1">
      <alignment vertical="center" wrapText="1"/>
    </xf>
    <xf numFmtId="0" fontId="49" fillId="0" borderId="0" xfId="0" applyFont="1" applyAlignment="1">
      <alignment horizontal="justify" vertical="center" wrapText="1"/>
    </xf>
    <xf numFmtId="0" fontId="51" fillId="0" borderId="0" xfId="0" applyFont="1" applyAlignment="1">
      <alignment horizontal="center" vertical="center" wrapText="1"/>
    </xf>
    <xf numFmtId="0" fontId="50" fillId="0" borderId="0" xfId="0" applyFont="1" applyAlignment="1">
      <alignment horizontal="center" vertical="center" wrapText="1"/>
    </xf>
    <xf numFmtId="0" fontId="52" fillId="0" borderId="0" xfId="0" applyFont="1" applyAlignment="1">
      <alignment horizontal="left" vertical="center" wrapText="1"/>
    </xf>
    <xf numFmtId="0" fontId="49" fillId="0" borderId="0" xfId="0" applyFont="1" applyAlignment="1">
      <alignment horizontal="left" vertical="center" wrapText="1"/>
    </xf>
    <xf numFmtId="0" fontId="51" fillId="0" borderId="0" xfId="0" applyFont="1" applyAlignment="1">
      <alignment horizontal="center" vertical="center"/>
    </xf>
    <xf numFmtId="0" fontId="50" fillId="0" borderId="0" xfId="0" applyFont="1" applyAlignment="1">
      <alignment horizontal="center" vertical="center"/>
    </xf>
    <xf numFmtId="0" fontId="50" fillId="0" borderId="0" xfId="0" applyFont="1" applyAlignment="1">
      <alignment horizontal="justify" vertical="center"/>
    </xf>
    <xf numFmtId="0" fontId="49" fillId="0" borderId="0" xfId="0" applyFont="1" applyAlignment="1">
      <alignment horizontal="center" vertical="center"/>
    </xf>
    <xf numFmtId="0" fontId="52" fillId="0" borderId="0" xfId="0" applyFont="1" applyAlignment="1">
      <alignment horizontal="justify" vertical="center"/>
    </xf>
    <xf numFmtId="0" fontId="52" fillId="0" borderId="3" xfId="0" applyFont="1" applyBorder="1" applyAlignment="1">
      <alignment horizontal="left" vertical="center"/>
    </xf>
    <xf numFmtId="0" fontId="49" fillId="0" borderId="0" xfId="0" applyFont="1" applyAlignment="1">
      <alignment horizontal="left" vertical="center"/>
    </xf>
    <xf numFmtId="164" fontId="52" fillId="0" borderId="0" xfId="0" applyNumberFormat="1" applyFont="1" applyAlignment="1">
      <alignment horizontal="left" vertical="center"/>
    </xf>
    <xf numFmtId="164" fontId="52" fillId="0" borderId="7" xfId="0" applyNumberFormat="1" applyFont="1" applyBorder="1" applyAlignment="1">
      <alignment horizontal="left" vertical="center"/>
    </xf>
    <xf numFmtId="15" fontId="12" fillId="0" borderId="0" xfId="0" quotePrefix="1" applyNumberFormat="1" applyFont="1" applyAlignment="1">
      <alignment horizontal="center"/>
    </xf>
    <xf numFmtId="15" fontId="12" fillId="0" borderId="5" xfId="1" quotePrefix="1" applyNumberFormat="1" applyFont="1" applyBorder="1" applyAlignment="1">
      <alignment horizontal="center" vertical="center"/>
    </xf>
    <xf numFmtId="15" fontId="12" fillId="0" borderId="0" xfId="0" applyNumberFormat="1" applyFont="1" applyAlignment="1">
      <alignment horizontal="center" wrapText="1"/>
    </xf>
    <xf numFmtId="0" fontId="37" fillId="0" borderId="0" xfId="0" applyFont="1" applyAlignment="1">
      <alignment wrapText="1"/>
    </xf>
    <xf numFmtId="0" fontId="12" fillId="0" borderId="0" xfId="0" applyFont="1" applyAlignment="1">
      <alignment vertical="center" wrapText="1"/>
    </xf>
    <xf numFmtId="14" fontId="12" fillId="0" borderId="0" xfId="0" quotePrefix="1" applyNumberFormat="1" applyFont="1" applyAlignment="1">
      <alignment horizontal="center" vertical="center" wrapText="1"/>
    </xf>
    <xf numFmtId="14" fontId="12" fillId="0" borderId="0" xfId="0" applyNumberFormat="1" applyFont="1" applyAlignment="1">
      <alignment horizontal="center" vertical="center" wrapText="1"/>
    </xf>
    <xf numFmtId="0" fontId="28" fillId="0" borderId="0" xfId="0" applyFont="1" applyAlignment="1">
      <alignment wrapText="1"/>
    </xf>
    <xf numFmtId="14" fontId="51" fillId="0" borderId="0" xfId="0" applyNumberFormat="1" applyFont="1" applyAlignment="1">
      <alignment horizontal="center" vertical="center" wrapText="1"/>
    </xf>
    <xf numFmtId="0" fontId="52" fillId="0" borderId="0" xfId="0" applyFont="1" applyAlignment="1">
      <alignment horizontal="center" vertical="center" wrapText="1"/>
    </xf>
    <xf numFmtId="9" fontId="52" fillId="0" borderId="0" xfId="0" applyNumberFormat="1" applyFont="1" applyAlignment="1">
      <alignment horizontal="center" vertical="center" wrapText="1"/>
    </xf>
    <xf numFmtId="164" fontId="52" fillId="0" borderId="0" xfId="1" applyNumberFormat="1" applyFont="1" applyAlignment="1">
      <alignment horizontal="left" vertical="center" wrapText="1"/>
    </xf>
    <xf numFmtId="164" fontId="49" fillId="0" borderId="3" xfId="1" applyNumberFormat="1" applyFont="1" applyBorder="1" applyAlignment="1">
      <alignment horizontal="left" vertical="center" wrapText="1"/>
    </xf>
    <xf numFmtId="164" fontId="52" fillId="0" borderId="7" xfId="1" applyNumberFormat="1" applyFont="1" applyBorder="1" applyAlignment="1">
      <alignment horizontal="left" vertical="center" wrapText="1"/>
    </xf>
    <xf numFmtId="164" fontId="52" fillId="0" borderId="0" xfId="1" applyNumberFormat="1" applyFont="1" applyBorder="1" applyAlignment="1">
      <alignment horizontal="left" vertical="center" wrapText="1"/>
    </xf>
    <xf numFmtId="164" fontId="49" fillId="0" borderId="0" xfId="1" applyNumberFormat="1" applyFont="1" applyAlignment="1">
      <alignment horizontal="left" vertical="center" wrapText="1"/>
    </xf>
    <xf numFmtId="164" fontId="52" fillId="0" borderId="6" xfId="1" applyNumberFormat="1" applyFont="1" applyBorder="1" applyAlignment="1">
      <alignment horizontal="left" vertical="center" wrapText="1"/>
    </xf>
    <xf numFmtId="0" fontId="12" fillId="0" borderId="0" xfId="0" quotePrefix="1" applyFont="1" applyAlignment="1">
      <alignment horizontal="center" vertical="center"/>
    </xf>
    <xf numFmtId="164" fontId="2" fillId="0" borderId="0" xfId="0" applyNumberFormat="1" applyFont="1"/>
    <xf numFmtId="0" fontId="7" fillId="0" borderId="0" xfId="0" applyFont="1" applyFill="1" applyAlignment="1">
      <alignment wrapText="1"/>
    </xf>
    <xf numFmtId="164" fontId="7" fillId="0" borderId="0" xfId="0" applyNumberFormat="1" applyFont="1" applyFill="1" applyBorder="1" applyAlignment="1">
      <alignment wrapText="1"/>
    </xf>
    <xf numFmtId="0" fontId="7" fillId="0" borderId="8" xfId="0" applyFont="1" applyFill="1" applyBorder="1" applyAlignment="1">
      <alignment horizontal="left" vertical="top" wrapText="1"/>
    </xf>
    <xf numFmtId="0" fontId="7" fillId="0" borderId="8" xfId="0" applyFont="1" applyFill="1" applyBorder="1" applyAlignment="1">
      <alignment horizontal="left" wrapText="1"/>
    </xf>
    <xf numFmtId="164" fontId="2" fillId="0" borderId="0" xfId="1" applyNumberFormat="1" applyFont="1" applyFill="1" applyBorder="1" applyAlignment="1">
      <alignment wrapText="1"/>
    </xf>
    <xf numFmtId="164" fontId="7" fillId="0" borderId="14" xfId="1" applyNumberFormat="1" applyFont="1" applyFill="1" applyBorder="1" applyAlignment="1">
      <alignment wrapText="1"/>
    </xf>
    <xf numFmtId="164" fontId="6" fillId="0" borderId="9" xfId="1" applyNumberFormat="1" applyFont="1" applyFill="1" applyBorder="1" applyAlignment="1">
      <alignment wrapText="1"/>
    </xf>
    <xf numFmtId="164" fontId="7" fillId="0" borderId="0" xfId="1" applyNumberFormat="1" applyFont="1" applyFill="1" applyAlignment="1">
      <alignment wrapText="1"/>
    </xf>
    <xf numFmtId="0" fontId="2" fillId="0" borderId="8" xfId="0" applyFont="1" applyFill="1" applyBorder="1" applyAlignment="1">
      <alignment wrapText="1"/>
    </xf>
    <xf numFmtId="164" fontId="2" fillId="0" borderId="8" xfId="1" applyNumberFormat="1" applyFont="1" applyFill="1" applyBorder="1"/>
    <xf numFmtId="164" fontId="7" fillId="0" borderId="14" xfId="1" applyNumberFormat="1" applyFont="1" applyFill="1" applyBorder="1"/>
    <xf numFmtId="164" fontId="7" fillId="0" borderId="8" xfId="1" applyNumberFormat="1" applyFont="1" applyFill="1" applyBorder="1"/>
    <xf numFmtId="164" fontId="2" fillId="0" borderId="0" xfId="0" applyNumberFormat="1" applyFont="1" applyBorder="1" applyAlignment="1"/>
    <xf numFmtId="0" fontId="7" fillId="0" borderId="0" xfId="0" applyFont="1" applyAlignment="1">
      <alignment horizontal="center" wrapText="1"/>
    </xf>
    <xf numFmtId="0" fontId="12" fillId="0" borderId="0" xfId="0" applyFont="1" applyAlignment="1">
      <alignment horizontal="center" vertical="center"/>
    </xf>
    <xf numFmtId="0" fontId="28" fillId="0" borderId="0" xfId="0" applyFont="1" applyAlignment="1">
      <alignment vertical="center"/>
    </xf>
    <xf numFmtId="0" fontId="12" fillId="0" borderId="0" xfId="0" applyFont="1" applyAlignment="1">
      <alignment vertical="center"/>
    </xf>
    <xf numFmtId="0" fontId="28" fillId="0" borderId="0" xfId="0" applyFont="1" applyAlignment="1">
      <alignment vertical="center"/>
    </xf>
    <xf numFmtId="164" fontId="48" fillId="0" borderId="0" xfId="12" applyNumberFormat="1" applyFont="1" applyAlignment="1">
      <alignment horizontal="center"/>
    </xf>
    <xf numFmtId="164" fontId="40" fillId="0" borderId="0" xfId="12" applyNumberFormat="1" applyFont="1" applyAlignment="1">
      <alignment horizontal="center"/>
    </xf>
    <xf numFmtId="0" fontId="43" fillId="0" borderId="0" xfId="12" applyFont="1" applyAlignment="1">
      <alignment horizontal="center" vertical="center"/>
    </xf>
    <xf numFmtId="0" fontId="44" fillId="0" borderId="0" xfId="12" applyFont="1" applyAlignment="1">
      <alignment horizontal="center" vertical="center"/>
    </xf>
    <xf numFmtId="2" fontId="47" fillId="21" borderId="18" xfId="12" applyNumberFormat="1" applyFont="1" applyFill="1" applyBorder="1" applyAlignment="1">
      <alignment horizontal="center" vertical="center"/>
    </xf>
    <xf numFmtId="2" fontId="47" fillId="21" borderId="21" xfId="12" applyNumberFormat="1" applyFont="1" applyFill="1" applyBorder="1" applyAlignment="1">
      <alignment horizontal="center" vertical="center"/>
    </xf>
    <xf numFmtId="2" fontId="47" fillId="21" borderId="18" xfId="12" applyNumberFormat="1" applyFont="1" applyFill="1" applyBorder="1" applyAlignment="1">
      <alignment horizontal="center" vertical="center" wrapText="1"/>
    </xf>
    <xf numFmtId="2" fontId="47" fillId="21" borderId="21" xfId="12" applyNumberFormat="1" applyFont="1" applyFill="1" applyBorder="1" applyAlignment="1">
      <alignment horizontal="center" vertical="center" wrapText="1"/>
    </xf>
    <xf numFmtId="2" fontId="47" fillId="21" borderId="19" xfId="12" applyNumberFormat="1" applyFont="1" applyFill="1" applyBorder="1" applyAlignment="1">
      <alignment horizontal="center" vertical="center"/>
    </xf>
    <xf numFmtId="2" fontId="47" fillId="21" borderId="20" xfId="12" applyNumberFormat="1" applyFont="1" applyFill="1" applyBorder="1" applyAlignment="1">
      <alignment horizontal="center" vertical="center"/>
    </xf>
    <xf numFmtId="0" fontId="28" fillId="0" borderId="0" xfId="0" applyFont="1" applyAlignment="1">
      <alignment horizontal="justify" vertical="center"/>
    </xf>
    <xf numFmtId="0" fontId="12" fillId="0" borderId="0" xfId="0" applyFont="1" applyAlignment="1">
      <alignment vertical="center"/>
    </xf>
    <xf numFmtId="0" fontId="28" fillId="0" borderId="0" xfId="0" applyFont="1" applyAlignment="1">
      <alignment vertical="center"/>
    </xf>
    <xf numFmtId="0" fontId="50" fillId="0" borderId="0" xfId="0" applyFont="1" applyAlignment="1">
      <alignment horizontal="justify" vertical="center"/>
    </xf>
    <xf numFmtId="0" fontId="49" fillId="0" borderId="0" xfId="0" applyFont="1" applyAlignment="1">
      <alignment horizontal="center" vertical="center" wrapText="1"/>
    </xf>
    <xf numFmtId="0" fontId="50" fillId="0" borderId="0" xfId="0" applyFont="1" applyAlignment="1">
      <alignment horizontal="center" vertical="center" wrapText="1"/>
    </xf>
    <xf numFmtId="0" fontId="12" fillId="0" borderId="0" xfId="0" applyFont="1" applyAlignment="1">
      <alignment horizontal="center" vertical="center"/>
    </xf>
    <xf numFmtId="15" fontId="12" fillId="0" borderId="0" xfId="0" applyNumberFormat="1" applyFont="1" applyAlignment="1">
      <alignment horizontal="center" vertical="center"/>
    </xf>
    <xf numFmtId="0" fontId="28" fillId="0" borderId="3" xfId="0" applyFont="1" applyBorder="1" applyAlignment="1">
      <alignment horizontal="right" vertical="center"/>
    </xf>
    <xf numFmtId="0" fontId="28" fillId="0" borderId="6" xfId="0" applyFont="1" applyBorder="1" applyAlignment="1">
      <alignment horizontal="right" vertical="center"/>
    </xf>
    <xf numFmtId="0" fontId="28" fillId="0" borderId="7" xfId="0" applyFont="1" applyBorder="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justify" vertical="center" wrapText="1"/>
    </xf>
    <xf numFmtId="0" fontId="0" fillId="0" borderId="0" xfId="0" applyAlignment="1">
      <alignment horizontal="center"/>
    </xf>
    <xf numFmtId="164" fontId="0" fillId="0" borderId="0" xfId="1" applyNumberFormat="1" applyFont="1"/>
    <xf numFmtId="164" fontId="55" fillId="0" borderId="0" xfId="1" applyNumberFormat="1" applyFont="1" applyAlignment="1">
      <alignment horizontal="center"/>
    </xf>
    <xf numFmtId="164" fontId="55" fillId="0" borderId="0" xfId="1" applyNumberFormat="1" applyFont="1" applyAlignment="1"/>
    <xf numFmtId="0" fontId="55" fillId="0" borderId="0" xfId="0" applyFont="1" applyAlignment="1">
      <alignment horizontal="center"/>
    </xf>
    <xf numFmtId="0" fontId="56" fillId="0" borderId="0" xfId="0" applyFont="1"/>
  </cellXfs>
  <cellStyles count="13">
    <cellStyle name="Comma" xfId="1" builtinId="3"/>
    <cellStyle name="Comma [0]" xfId="6" builtinId="6"/>
    <cellStyle name="Comma 15" xfId="10"/>
    <cellStyle name="Comma 2" xfId="5"/>
    <cellStyle name="Comma 3 2" xfId="8"/>
    <cellStyle name="Normal" xfId="0" builtinId="0"/>
    <cellStyle name="Normal 2" xfId="9"/>
    <cellStyle name="Normal 2 2" xfId="7"/>
    <cellStyle name="Normal 3" xfId="4"/>
    <cellStyle name="Normal 4" xfId="11"/>
    <cellStyle name="Normal 5" xfId="12"/>
    <cellStyle name="Normal 6 2" xfId="2"/>
    <cellStyle name="Percent" xfId="3" builtinId="5"/>
  </cellStyles>
  <dxfs count="359">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ill>
        <patternFill patternType="none">
          <bgColor auto="1"/>
        </patternFill>
      </fill>
    </dxf>
    <dxf>
      <font>
        <b/>
        <i val="0"/>
        <color rgb="FFFF0000"/>
      </font>
      <fill>
        <patternFill>
          <bgColor rgb="FFFFFF00"/>
        </patternFill>
      </fill>
    </dxf>
    <dxf>
      <fill>
        <patternFill patternType="none">
          <bgColor auto="1"/>
        </patternFill>
      </fill>
    </dxf>
    <dxf>
      <font>
        <color rgb="FFFF0000"/>
      </font>
      <fill>
        <patternFill>
          <bgColor theme="5" tint="0.39994506668294322"/>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ont>
        <b/>
        <i val="0"/>
        <color rgb="FFFF0000"/>
      </font>
      <fill>
        <patternFill>
          <bgColor rgb="FFFFFF00"/>
        </patternFill>
      </fill>
    </dxf>
    <dxf>
      <font>
        <b/>
        <i val="0"/>
        <color theme="1"/>
      </font>
      <fill>
        <patternFill>
          <bgColor rgb="FFFF0000"/>
        </patternFill>
      </fill>
    </dxf>
    <dxf>
      <fill>
        <patternFill>
          <bgColor rgb="FFFFFF00"/>
        </patternFill>
      </fill>
    </dxf>
    <dxf>
      <font>
        <color rgb="FFFF0000"/>
      </font>
      <fill>
        <patternFill>
          <bgColor theme="5" tint="0.39994506668294322"/>
        </patternFill>
      </fill>
    </dxf>
    <dxf>
      <fill>
        <patternFill>
          <bgColor rgb="FFFFFF00"/>
        </patternFill>
      </fill>
    </dxf>
    <dxf>
      <font>
        <color rgb="FFFF0000"/>
      </font>
      <fill>
        <patternFill>
          <bgColor theme="5" tint="0.39994506668294322"/>
        </patternFill>
      </fill>
    </dxf>
    <dxf>
      <fill>
        <patternFill>
          <bgColor rgb="FFFFFF00"/>
        </patternFill>
      </fill>
    </dxf>
    <dxf>
      <font>
        <color rgb="FFFF0000"/>
      </font>
      <fill>
        <patternFill>
          <bgColor theme="5" tint="0.39994506668294322"/>
        </patternFill>
      </fill>
    </dxf>
    <dxf>
      <fill>
        <patternFill>
          <bgColor rgb="FFFFFF00"/>
        </patternFill>
      </fill>
    </dxf>
    <dxf>
      <font>
        <color rgb="FFFF0000"/>
      </font>
      <fill>
        <patternFill>
          <bgColor theme="5" tint="0.39994506668294322"/>
        </patternFill>
      </fill>
    </dxf>
    <dxf>
      <fill>
        <patternFill>
          <bgColor rgb="FFFFFF00"/>
        </patternFill>
      </fill>
    </dxf>
    <dxf>
      <font>
        <color rgb="FFFF0000"/>
      </font>
      <fill>
        <patternFill>
          <bgColor theme="5" tint="0.39994506668294322"/>
        </patternFill>
      </fill>
    </dxf>
    <dxf>
      <fill>
        <patternFill>
          <bgColor rgb="FFFFFF00"/>
        </patternFill>
      </fill>
    </dxf>
    <dxf>
      <font>
        <color rgb="FFFF0000"/>
      </font>
      <fill>
        <patternFill>
          <bgColor theme="5" tint="0.39994506668294322"/>
        </patternFill>
      </fill>
    </dxf>
    <dxf>
      <fill>
        <patternFill>
          <bgColor theme="5" tint="0.59996337778862885"/>
        </patternFill>
      </fill>
    </dxf>
    <dxf>
      <fill>
        <patternFill>
          <bgColor theme="4" tint="0.39994506668294322"/>
        </patternFill>
      </fill>
    </dxf>
    <dxf>
      <fill>
        <patternFill>
          <bgColor theme="7" tint="0.79998168889431442"/>
        </patternFill>
      </fill>
    </dxf>
    <dxf>
      <fill>
        <patternFill>
          <bgColor theme="4" tint="0.59996337778862885"/>
        </patternFill>
      </fill>
    </dxf>
  </dxfs>
  <tableStyles count="2" defaultTableStyle="TableStyleMedium2" defaultPivotStyle="PivotStyleLight16">
    <tableStyle name="Table Style 1" pivot="0" count="3">
      <tableStyleElement type="firstRowStripe" dxfId="358"/>
      <tableStyleElement type="secondRowStripe" dxfId="357"/>
      <tableStyleElement type="firstColumnStripe" size="2"/>
    </tableStyle>
    <tableStyle name="Table Style 2" pivot="0" count="2">
      <tableStyleElement type="headerRow" dxfId="356"/>
      <tableStyleElement type="totalRow" dxfId="355"/>
    </tableStyle>
  </tableStyles>
  <colors>
    <mruColors>
      <color rgb="FFFFFF66"/>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_/FS_2019/GRP_311219/B4_Land_31121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310%20%20&#45824;&#52636;&#52292;&#44428;%20Lead%20Schedule&#51032;%20&#50892;&#53356;&#49884;&#53944;"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6133%20&#48120;&#51648;&#44553;&#51060;&#51088;&#44228;&#49328;2(&#51221;&#44592;&#51201;&#44552;,&#44540;&#47196;&#51088;&#50864;&#45824;&#51200;&#52629;)&#51032;%20&#50892;&#53356;&#49884;&#53944;"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208131%20&#47588;&#52636;%20substantive%20work&#51032;%20&#50892;&#53356;&#49884;&#5394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20&#44592;&#53440;&#53804;&#51088;&#51088;&#49328;%20Lead%20Schedule&#51032;%20&#50892;&#53356;&#49884;&#5394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ble\Documents\Job\S2_Job%202016-2017\Bitexco\Final%202016\PBC%20-%20Copy\Land\TB%20Land%2031122016%20modifi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Q22018 vs 2017"/>
      <sheetName val="P&amp;L-Q219"/>
      <sheetName val="FS  19 vs 2018"/>
      <sheetName val="A1"/>
      <sheetName val="A2"/>
      <sheetName val="B1"/>
      <sheetName val="B2"/>
      <sheetName val="B3"/>
      <sheetName val="C1"/>
      <sheetName val="C2"/>
      <sheetName val="C3"/>
      <sheetName val="D"/>
      <sheetName val="E"/>
      <sheetName val="KH 2017"/>
      <sheetName val="KH 2019"/>
      <sheetName val="KH 2018"/>
      <sheetName val="Sheet6"/>
      <sheetName val="Cong 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7">
          <cell r="B7" t="str">
            <v>Công ty TNHH Tập đoàn Bitexco</v>
          </cell>
        </row>
        <row r="8">
          <cell r="B8" t="str">
            <v>Công ty Cổ phần Đầu tư Bitexco</v>
          </cell>
        </row>
        <row r="9">
          <cell r="B9" t="str">
            <v>Công ty Cổ phần Da giầy Việt Nam</v>
          </cell>
        </row>
        <row r="10">
          <cell r="B10" t="str">
            <v>Công ty Cổ phần BOT Đường tránh Thanh Hóa</v>
          </cell>
        </row>
        <row r="11">
          <cell r="B11" t="str">
            <v>Công ty TNHH MTV Khoáng sản Bitexco</v>
          </cell>
        </row>
        <row r="12">
          <cell r="B12" t="str">
            <v>Công ty TNHH Dầu khí Bitexco</v>
          </cell>
        </row>
        <row r="13">
          <cell r="B13" t="str">
            <v>Công ty TNHH Quản lý Khách sạn - Bitexco</v>
          </cell>
        </row>
        <row r="14">
          <cell r="B14" t="str">
            <v>Công ty Cổ phần Viễn thông Đông Dương Telecom</v>
          </cell>
        </row>
        <row r="15">
          <cell r="B15" t="str">
            <v>Công ty Cổ phần Bitexco Bến Thành</v>
          </cell>
        </row>
        <row r="16">
          <cell r="B16" t="str">
            <v>Công ty Cổ phần Đầu tư và Du lịch JWM</v>
          </cell>
        </row>
        <row r="17">
          <cell r="B17" t="str">
            <v>Công ty Cổ phần Đầu tư TSS</v>
          </cell>
        </row>
        <row r="18">
          <cell r="B18" t="str">
            <v>Công ty Cổ phần Đầu tư và Phát triển Sapa Lào Cai</v>
          </cell>
        </row>
        <row r="19">
          <cell r="B19" t="str">
            <v>Công ty TNHH MTV Đầu tư Phát triển Dự án Tứ giác Nguyễn Cư Trinh</v>
          </cell>
        </row>
        <row r="20">
          <cell r="B20" t="str">
            <v>Công ty Cổ phần Đầu tư Dự án Bệnh Viện Sài Gòn</v>
          </cell>
        </row>
        <row r="21">
          <cell r="B21" t="str">
            <v>Công ty Cổ phần Bitexco</v>
          </cell>
        </row>
        <row r="22">
          <cell r="B22" t="str">
            <v xml:space="preserve">Công ty TNHH MTV Đầu tư và Thương mại The Garden </v>
          </cell>
        </row>
        <row r="23">
          <cell r="B23" t="str">
            <v>Công ty TNHH Bitexco Văn Phòng</v>
          </cell>
        </row>
        <row r="24">
          <cell r="B24" t="str">
            <v>Công ty Cổ phần BitexcoLand</v>
          </cell>
        </row>
        <row r="25">
          <cell r="B25" t="str">
            <v xml:space="preserve">Công ty TNHH Đường BT Chu Văn An </v>
          </cell>
        </row>
        <row r="26">
          <cell r="B26" t="str">
            <v>Công ty Cổ phần TMCP Diamond Development</v>
          </cell>
        </row>
        <row r="27">
          <cell r="B27" t="str">
            <v>Công ty Cổ phần Năng lượng Bitexco</v>
          </cell>
        </row>
        <row r="28">
          <cell r="B28" t="str">
            <v xml:space="preserve">Công ty Cổ phần Thủy điện Tả Trạch </v>
          </cell>
        </row>
        <row r="29">
          <cell r="B29" t="str">
            <v xml:space="preserve">Công ty Cổ phần Thủy điện Nậm Mức </v>
          </cell>
        </row>
        <row r="30">
          <cell r="B30" t="str">
            <v>Công ty Cổ phần Thủy điện Đak Mi</v>
          </cell>
        </row>
        <row r="31">
          <cell r="B31" t="str">
            <v>Công ty Cổ phần Thủy điện Long Tao Điện Biên</v>
          </cell>
        </row>
        <row r="32">
          <cell r="B32" t="str">
            <v>Công ty Cổ phần Thủy điện Nho Quế 1</v>
          </cell>
        </row>
        <row r="33">
          <cell r="B33" t="str">
            <v>Công ty Cổ phần Đầu tư và Phát triển Điện Nho Quế (Nho Quế 2)</v>
          </cell>
        </row>
        <row r="34">
          <cell r="B34" t="str">
            <v>Công ty TNHH MTV Thủy điện Nho Quế 3</v>
          </cell>
        </row>
        <row r="35">
          <cell r="B35" t="str">
            <v xml:space="preserve">Công ty Cổ phần Thủy điện Văn Chấn </v>
          </cell>
        </row>
        <row r="36">
          <cell r="B36" t="str">
            <v>Công ty TNHH Thủy điện Hà Giang</v>
          </cell>
        </row>
        <row r="37">
          <cell r="B37" t="str">
            <v>Công ty TNHH Thủy điện Tây Nguyên</v>
          </cell>
        </row>
        <row r="38">
          <cell r="B38" t="str">
            <v>Công ty Cổ phần Thủy điện Hoàng Anh Tona</v>
          </cell>
        </row>
        <row r="39">
          <cell r="B39" t="str">
            <v>Công ty Cổ phần Thủy điện Hoàng Anh Thanh Hóa</v>
          </cell>
        </row>
        <row r="40">
          <cell r="B40" t="str">
            <v>Công ty TNHH Đầu tư và Quản lý vận hành điện Sông Mã</v>
          </cell>
        </row>
        <row r="41">
          <cell r="B41" t="str">
            <v>Công ty TNHH MTV Đầu Tư Sông Hồng Lào Cai</v>
          </cell>
        </row>
        <row r="42">
          <cell r="B42" t="str">
            <v>Công ty Cổ phần Thủy điện Bình Điền</v>
          </cell>
        </row>
        <row r="43">
          <cell r="B43" t="str">
            <v>Công ty TNHH MTV Solar Power Ninh Thuận</v>
          </cell>
        </row>
        <row r="44">
          <cell r="B44" t="str">
            <v>Công ty Cổ phần Du lịch Mỹ An</v>
          </cell>
        </row>
        <row r="45">
          <cell r="B45" t="str">
            <v>Công ty TNHH Saigon Glory</v>
          </cell>
        </row>
        <row r="46">
          <cell r="B46" t="str">
            <v>Công ty …</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출채권LS"/>
      <sheetName val="disclosure"/>
      <sheetName val="대손설정율"/>
      <sheetName val="XREF"/>
      <sheetName val="Tickmarks"/>
      <sheetName val="대손충당금증감"/>
      <sheetName val="#REF"/>
      <sheetName val="US Codes"/>
      <sheetName val="dongia"/>
      <sheetName val="Control sheet"/>
      <sheetName val="Information"/>
      <sheetName val="TH-XL"/>
      <sheetName val="12A12"/>
      <sheetName val="FA Movement"/>
      <sheetName val="Disposal"/>
      <sheetName val="SAP Predictive-Interest Income"/>
      <sheetName val="Test purchase"/>
      <sheetName val="Luong"/>
      <sheetName val="Gia vat tu"/>
      <sheetName val="표지어음"/>
      <sheetName val="PArt3"/>
      <sheetName val="R540"/>
      <sheetName val="gvl"/>
      <sheetName val="Provision"/>
      <sheetName val="WTB"/>
      <sheetName val="40.4.2.0010 Deferred tax"/>
      <sheetName val="Leadsheet"/>
      <sheetName val="資料"/>
      <sheetName val="XL4Poppy"/>
      <sheetName val="BO"/>
      <sheetName val="T.Tinh"/>
      <sheetName val="1.Thongtin"/>
      <sheetName val="Vol &amp; LEx"/>
      <sheetName val="공정"/>
      <sheetName val="리드"/>
      <sheetName val="특별계정자산lead"/>
      <sheetName val="특별계정부채lead"/>
      <sheetName val="Menu_Link"/>
      <sheetName val="IS리드"/>
      <sheetName val="매도가능 기타"/>
      <sheetName val="정산표"/>
      <sheetName val="BS_EN"/>
      <sheetName val="BS_VN"/>
      <sheetName val="BS_Working"/>
      <sheetName val="General information"/>
      <sheetName val="CF_VN "/>
      <sheetName val="PL_VN"/>
      <sheetName val="Comparative figures EN"/>
      <sheetName val="Related Parties"/>
      <sheetName val="PL_Working"/>
      <sheetName val="Comparative figures VN"/>
      <sheetName val="SAD 18 +17"/>
      <sheetName val="SUM 18"/>
      <sheetName val="SAD"/>
      <sheetName val="SUM"/>
      <sheetName val="SUM7"/>
      <sheetName val="SUM6"/>
      <sheetName val="SUM4"/>
      <sheetName val="SUM1"/>
      <sheetName val="EX converted 19"/>
      <sheetName val="CF_Working"/>
      <sheetName val="Supporting CF"/>
      <sheetName val="TB_2019"/>
      <sheetName val="PL_EN"/>
      <sheetName val="CF_EN "/>
      <sheetName val="BS_Converted"/>
      <sheetName val="PL_Converted"/>
      <sheetName val="CF_Converted "/>
      <sheetName val="Disclosure Checklist"/>
      <sheetName val="Notes of BS"/>
      <sheetName val="Off balance sheet"/>
      <sheetName val="Investment"/>
      <sheetName val="Other receivable"/>
      <sheetName val="Shortage of assets"/>
      <sheetName val="Doubtful debt"/>
      <sheetName val="Inventories"/>
      <sheetName val="PPE"/>
      <sheetName val="Investment properties"/>
      <sheetName val="Long term assets"/>
      <sheetName val="AP"/>
      <sheetName val="Tax payables"/>
      <sheetName val="Borrowings"/>
      <sheetName val="Bonds"/>
      <sheetName val="Deferred income tax"/>
      <sheetName val="Owner capital"/>
      <sheetName val="Earnings per share"/>
      <sheetName val="Segment report"/>
      <sheetName val="CF Note"/>
      <sheetName val="Notes of PL"/>
      <sheetName val="Financial risk"/>
      <sheetName val="Commitment Note"/>
      <sheetName val="CDSPS"/>
      <sheetName val="Sheet2"/>
      <sheetName val="BALANCE SHEET"/>
      <sheetName val="INCOME STATEMENT"/>
      <sheetName val="CASH FLOW"/>
      <sheetName val="OR_Shortage assets"/>
      <sheetName val="Accounts payable"/>
      <sheetName val="Deferred tax"/>
      <sheetName val="Comparative figures"/>
      <sheetName val="Summary"/>
      <sheetName val="TB"/>
      <sheetName val="US_Codes"/>
      <sheetName val="Control_sheet"/>
      <sheetName val="FA_Movement"/>
      <sheetName val="Test_purchase"/>
      <sheetName val="SAP_Predictive-Interest_Income"/>
      <sheetName val="Gia_vat_tu"/>
      <sheetName val="General_information"/>
      <sheetName val="CF_VN_"/>
      <sheetName val="Comparative_figures_EN"/>
      <sheetName val="Related_Parties"/>
      <sheetName val="Comparative_figures_VN"/>
      <sheetName val="BALANCE_SHEET"/>
      <sheetName val="INCOME_STATEMENT"/>
      <sheetName val="CASH_FLOW"/>
      <sheetName val="Disclosure_Checklist"/>
      <sheetName val="Notes_of_BS"/>
      <sheetName val="OR_Shortage_assets"/>
      <sheetName val="Doubtful_debt"/>
      <sheetName val="Investment_properties"/>
      <sheetName val="Long_term_assets"/>
      <sheetName val="Accounts_payable"/>
      <sheetName val="Tax_payables"/>
      <sheetName val="Deferred_tax"/>
      <sheetName val="Owner_capital"/>
      <sheetName val="Earnings_per_share"/>
      <sheetName val="Notes_of_PL"/>
      <sheetName val="Segment_report"/>
      <sheetName val="CF_Note"/>
      <sheetName val="Financial_risk"/>
      <sheetName val="Commitment_Note"/>
      <sheetName val="Comparative_figures"/>
      <sheetName val="40_4_2_0010_Deferred_tax"/>
      <sheetName val="T_Tinh"/>
      <sheetName val="매도가능_기타"/>
      <sheetName val="현금흐름표"/>
      <sheetName val="연결조정분개"/>
      <sheetName val="Note 3"/>
      <sheetName val="Detail listing"/>
      <sheetName val="VAS TB"/>
      <sheetName val="Global Data"/>
      <sheetName val="Section"/>
      <sheetName val="OthCode"/>
      <sheetName val="Goal "/>
      <sheetName val="Daily Schedule"/>
      <sheetName val="Job Schedule "/>
      <sheetName val="CPA Exam"/>
      <sheetName val="Note_Reminder"/>
      <sheetName val="Issues"/>
      <sheetName val="BA"/>
      <sheetName val="Used Account"/>
      <sheetName val="Coaching"/>
      <sheetName val="October "/>
      <sheetName val="Tips"/>
      <sheetName val="tong du toan"/>
      <sheetName val="ttl fty"/>
      <sheetName val="Notes BS"/>
      <sheetName val="Upload Template"/>
      <sheetName val="GiaVL"/>
      <sheetName val="Dulieu"/>
      <sheetName val="DTCT"/>
      <sheetName val="Paramete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어음"/>
      <sheetName val="정기적금미지급이자"/>
      <sheetName val="근로자우대저축"/>
      <sheetName val="Sheet1"/>
      <sheetName val="Tickmarks"/>
      <sheetName val="F-4,5"/>
      <sheetName val="XREF"/>
      <sheetName val="대출채권LS"/>
      <sheetName val="NEW-PANEL"/>
      <sheetName val="Movement Equity "/>
      <sheetName val="PArt3"/>
      <sheetName val="T.Tinh"/>
      <sheetName val="gvl"/>
      <sheetName val="Statement"/>
      <sheetName val="XLR_NoRangeSheet"/>
      <sheetName val="資料"/>
      <sheetName val="Patrick Input Page"/>
      <sheetName val="Tra_bang"/>
      <sheetName val="R540"/>
      <sheetName val="Final Rec."/>
      <sheetName val="營業額"/>
      <sheetName val="General information"/>
      <sheetName val="SAD 18 +17"/>
      <sheetName val="SUM 18"/>
      <sheetName val="SAD"/>
      <sheetName val="SUM"/>
      <sheetName val="SUM7"/>
      <sheetName val="SUM6"/>
      <sheetName val="SUM4"/>
      <sheetName val="SUM1"/>
      <sheetName val="EX converted 19"/>
      <sheetName val="BS_Working"/>
      <sheetName val="PL_Working"/>
      <sheetName val="CF_Working"/>
      <sheetName val="Supporting CF"/>
      <sheetName val="TB_2019"/>
      <sheetName val="BS_EN"/>
      <sheetName val="PL_EN"/>
      <sheetName val="CF_EN "/>
      <sheetName val="BS_VN"/>
      <sheetName val="PL_VN"/>
      <sheetName val="CF_VN "/>
      <sheetName val="BS_Converted"/>
      <sheetName val="PL_Converted"/>
      <sheetName val="CF_Converted "/>
      <sheetName val="Disclosure Checklist"/>
      <sheetName val="Notes of BS"/>
      <sheetName val="Off balance sheet"/>
      <sheetName val="Investment"/>
      <sheetName val="Other receivable"/>
      <sheetName val="Shortage of assets"/>
      <sheetName val="Doubtful debt"/>
      <sheetName val="Inventories"/>
      <sheetName val="PPE"/>
      <sheetName val="Investment properties"/>
      <sheetName val="Long term assets"/>
      <sheetName val="AP"/>
      <sheetName val="Tax payables"/>
      <sheetName val="Borrowings"/>
      <sheetName val="Bonds"/>
      <sheetName val="Deferred income tax"/>
      <sheetName val="Owner capital"/>
      <sheetName val="Earnings per share"/>
      <sheetName val="Segment report"/>
      <sheetName val="CF Note"/>
      <sheetName val="Notes of PL"/>
      <sheetName val="Related Parties"/>
      <sheetName val="Financial risk"/>
      <sheetName val="Commitment Note"/>
      <sheetName val="Comparative figures EN"/>
      <sheetName val="Comparative figures VN"/>
      <sheetName val="CDSPS"/>
      <sheetName val="Sheet2"/>
      <sheetName val="BALANCE SHEET"/>
      <sheetName val="INCOME STATEMENT"/>
      <sheetName val="CASH FLOW"/>
      <sheetName val="OR_Shortage assets"/>
      <sheetName val="Accounts payable"/>
      <sheetName val="Deferred tax"/>
      <sheetName val="Comparative figures"/>
      <sheetName val="TB"/>
      <sheetName val="Setting"/>
      <sheetName val="Movement_Equity_"/>
      <sheetName val="T_Tinh"/>
      <sheetName val="General_information"/>
      <sheetName val="BALANCE_SHEET"/>
      <sheetName val="INCOME_STATEMENT"/>
      <sheetName val="CASH_FLOW"/>
      <sheetName val="Disclosure_Checklist"/>
      <sheetName val="Notes_of_BS"/>
      <sheetName val="OR_Shortage_assets"/>
      <sheetName val="Doubtful_debt"/>
      <sheetName val="Investment_properties"/>
      <sheetName val="Long_term_assets"/>
      <sheetName val="Accounts_payable"/>
      <sheetName val="Tax_payables"/>
      <sheetName val="Deferred_tax"/>
      <sheetName val="Owner_capital"/>
      <sheetName val="Earnings_per_share"/>
      <sheetName val="Notes_of_PL"/>
      <sheetName val="Segment_report"/>
      <sheetName val="CF_Note"/>
      <sheetName val="Related_Parties"/>
      <sheetName val="Financial_risk"/>
      <sheetName val="Commitment_Note"/>
      <sheetName val="Comparative_figures"/>
      <sheetName val="Final_Rec_"/>
      <sheetName val="ADJ 3"/>
      <sheetName val="WTB"/>
      <sheetName val="Validation"/>
      <sheetName val="Section"/>
      <sheetName val="TH-XL"/>
      <sheetName val="tong du toan"/>
      <sheetName val="Summary"/>
      <sheetName val="Output form"/>
      <sheetName val="GL 333"/>
      <sheetName val="Input form"/>
      <sheetName val="0000000000"/>
      <sheetName val="GL 1331"/>
      <sheetName val="KPMG"/>
      <sheetName val="Bank Statement"/>
      <sheetName val="4"/>
      <sheetName val="Note 3"/>
    </sheetNames>
    <sheetDataSet>
      <sheetData sheetId="0">
        <row r="575">
          <cell r="I575">
            <v>18633454821</v>
          </cell>
          <cell r="J575" t="str">
            <v>!</v>
          </cell>
          <cell r="K575">
            <v>135309981</v>
          </cell>
          <cell r="L575" t="str">
            <v>!</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
          <cell r="J2" t="str">
            <v>Y</v>
          </cell>
        </row>
      </sheetData>
      <sheetData sheetId="22">
        <row r="2">
          <cell r="J2" t="str">
            <v>Y</v>
          </cell>
        </row>
      </sheetData>
      <sheetData sheetId="23">
        <row r="2">
          <cell r="J2" t="str">
            <v>Y</v>
          </cell>
        </row>
      </sheetData>
      <sheetData sheetId="24">
        <row r="2">
          <cell r="J2" t="str">
            <v>Y</v>
          </cell>
        </row>
      </sheetData>
      <sheetData sheetId="25"/>
      <sheetData sheetId="26">
        <row r="2">
          <cell r="J2" t="str">
            <v>Y</v>
          </cell>
        </row>
      </sheetData>
      <sheetData sheetId="27"/>
      <sheetData sheetId="28"/>
      <sheetData sheetId="29">
        <row r="2">
          <cell r="J2" t="str">
            <v>Y</v>
          </cell>
        </row>
      </sheetData>
      <sheetData sheetId="30"/>
      <sheetData sheetId="31">
        <row r="2">
          <cell r="J2" t="str">
            <v>Y</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
          <cell r="J2" t="str">
            <v>Y</v>
          </cell>
        </row>
      </sheetData>
      <sheetData sheetId="55">
        <row r="2">
          <cell r="J2" t="str">
            <v>Y</v>
          </cell>
        </row>
      </sheetData>
      <sheetData sheetId="56">
        <row r="2">
          <cell r="J2" t="str">
            <v>Y</v>
          </cell>
        </row>
      </sheetData>
      <sheetData sheetId="57">
        <row r="2">
          <cell r="J2" t="str">
            <v>Y</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J2" t="str">
            <v>Y</v>
          </cell>
        </row>
      </sheetData>
      <sheetData sheetId="80"/>
      <sheetData sheetId="81" refreshError="1"/>
      <sheetData sheetId="82"/>
      <sheetData sheetId="83">
        <row r="2">
          <cell r="J2" t="str">
            <v>Y</v>
          </cell>
        </row>
      </sheetData>
      <sheetData sheetId="84">
        <row r="2">
          <cell r="J2" t="str">
            <v>Y</v>
          </cell>
        </row>
      </sheetData>
      <sheetData sheetId="85">
        <row r="2">
          <cell r="J2" t="str">
            <v>Y</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ow r="7">
          <cell r="J7">
            <v>-76351442238</v>
          </cell>
        </row>
      </sheetData>
      <sheetData sheetId="114"/>
      <sheetData sheetId="115"/>
      <sheetData sheetId="116"/>
      <sheetData sheetId="117"/>
      <sheetData sheetId="118"/>
      <sheetData sheetId="119"/>
      <sheetData sheetId="120"/>
      <sheetData sheetId="121" refreshError="1"/>
      <sheetData sheetId="1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매출액명세"/>
      <sheetName val="월별매출액"/>
      <sheetName val="부가세대사"/>
      <sheetName val="부가세신고서"/>
      <sheetName val="CUT-OFF"/>
      <sheetName val="XREF"/>
      <sheetName val="Tickmarks"/>
      <sheetName val="표지어음"/>
      <sheetName val="은행조회서CS"/>
      <sheetName val="chi_tiet"/>
      <sheetName val="대출채권LS"/>
      <sheetName val="외상매출금현황-수정분 A2"/>
      <sheetName val="Assets"/>
      <sheetName val="Receivables"/>
      <sheetName val="Depreciation - Reasonable Test"/>
      <sheetName val="Opening Balance"/>
      <sheetName val="Disposal"/>
      <sheetName val="Summary"/>
      <sheetName val="Insurance"/>
      <sheetName val="Addition"/>
      <sheetName val="PPC"/>
      <sheetName val="Growth"/>
      <sheetName val="資料"/>
      <sheetName val="R540"/>
      <sheetName val="TVL"/>
      <sheetName val="무형"/>
      <sheetName val="AR 10 chua dong ky"/>
      <sheetName val="General information"/>
      <sheetName val="SAD 18 +17"/>
      <sheetName val="SUM 18"/>
      <sheetName val="SAD"/>
      <sheetName val="SUM"/>
      <sheetName val="SUM7"/>
      <sheetName val="SUM6"/>
      <sheetName val="SUM4"/>
      <sheetName val="SUM1"/>
      <sheetName val="EX converted 19"/>
      <sheetName val="BS_Working"/>
      <sheetName val="PL_Working"/>
      <sheetName val="CF_Working"/>
      <sheetName val="Supporting CF"/>
      <sheetName val="TB_2019"/>
      <sheetName val="BS_EN"/>
      <sheetName val="PL_EN"/>
      <sheetName val="CF_EN "/>
      <sheetName val="BS_VN"/>
      <sheetName val="PL_VN"/>
      <sheetName val="CF_VN "/>
      <sheetName val="BS_Converted"/>
      <sheetName val="PL_Converted"/>
      <sheetName val="CF_Converted "/>
      <sheetName val="Disclosure Checklist"/>
      <sheetName val="Notes of BS"/>
      <sheetName val="Off balance sheet"/>
      <sheetName val="Investment"/>
      <sheetName val="Other receivable"/>
      <sheetName val="Shortage of assets"/>
      <sheetName val="Doubtful debt"/>
      <sheetName val="Inventories"/>
      <sheetName val="PPE"/>
      <sheetName val="Investment properties"/>
      <sheetName val="Long term assets"/>
      <sheetName val="AP"/>
      <sheetName val="Tax payables"/>
      <sheetName val="Borrowings"/>
      <sheetName val="Bonds"/>
      <sheetName val="Deferred income tax"/>
      <sheetName val="Owner capital"/>
      <sheetName val="Earnings per share"/>
      <sheetName val="Segment report"/>
      <sheetName val="CF Note"/>
      <sheetName val="Notes of PL"/>
      <sheetName val="Related Parties"/>
      <sheetName val="Financial risk"/>
      <sheetName val="Commitment Note"/>
      <sheetName val="Comparative figures EN"/>
      <sheetName val="Comparative figures VN"/>
      <sheetName val="CDSPS"/>
      <sheetName val="Sheet2"/>
      <sheetName val="BALANCE SHEET"/>
      <sheetName val="INCOME STATEMENT"/>
      <sheetName val="CASH FLOW"/>
      <sheetName val="OR_Shortage assets"/>
      <sheetName val="Accounts payable"/>
      <sheetName val="Deferred tax"/>
      <sheetName val="Comparative figures"/>
      <sheetName val="TB"/>
      <sheetName val="퇴직금추계ot"/>
      <sheetName val="감가상각"/>
      <sheetName val="외상매출금현황-수정분_A2"/>
      <sheetName val="Depreciation_-_Reasonable_Test"/>
      <sheetName val="Opening_Balance"/>
      <sheetName val="General_information"/>
      <sheetName val="BALANCE_SHEET"/>
      <sheetName val="INCOME_STATEMENT"/>
      <sheetName val="CASH_FLOW"/>
      <sheetName val="Disclosure_Checklist"/>
      <sheetName val="Notes_of_BS"/>
      <sheetName val="OR_Shortage_assets"/>
      <sheetName val="Doubtful_debt"/>
      <sheetName val="Investment_properties"/>
      <sheetName val="Long_term_assets"/>
      <sheetName val="Accounts_payable"/>
      <sheetName val="Tax_payables"/>
      <sheetName val="Deferred_tax"/>
      <sheetName val="Owner_capital"/>
      <sheetName val="Earnings_per_share"/>
      <sheetName val="Notes_of_PL"/>
      <sheetName val="Segment_report"/>
      <sheetName val="CF_Note"/>
      <sheetName val="Related_Parties"/>
      <sheetName val="Financial_risk"/>
      <sheetName val="Commitment_Note"/>
      <sheetName val="Comparative_figures"/>
      <sheetName val="ADJ 3"/>
      <sheetName val="FA Movement"/>
      <sheetName val="Sheet1"/>
      <sheetName val="Unrealised gainloss"/>
      <sheetName val="Converted BS"/>
      <sheetName val="Ex.rate PL 2019"/>
      <sheetName val="Converted rate"/>
      <sheetName val="Converted PL"/>
      <sheetName val="VAT duoc khau tru"/>
      <sheetName val="Thuc thanh"/>
      <sheetName val="tra-vat-lieu"/>
    </sheetNames>
    <sheetDataSet>
      <sheetData sheetId="0"/>
      <sheetData sheetId="1"/>
      <sheetData sheetId="2"/>
      <sheetData sheetId="3"/>
      <sheetData sheetId="4"/>
      <sheetData sheetId="5">
        <row r="2">
          <cell r="A2">
            <v>356054499208</v>
          </cell>
        </row>
      </sheetData>
      <sheetData sheetId="6">
        <row r="2">
          <cell r="A2">
            <v>356054499208</v>
          </cell>
          <cell r="B2">
            <v>356054499208</v>
          </cell>
          <cell r="D2" t="str">
            <v>매출 substantive work</v>
          </cell>
          <cell r="E2" t="str">
            <v>!</v>
          </cell>
        </row>
        <row r="3">
          <cell r="A3">
            <v>356054499208</v>
          </cell>
          <cell r="B3">
            <v>356054499208</v>
          </cell>
          <cell r="D3" t="str">
            <v>매출 substantive work</v>
          </cell>
          <cell r="E3" t="str">
            <v>!</v>
          </cell>
        </row>
        <row r="4">
          <cell r="A4">
            <v>72814053805</v>
          </cell>
          <cell r="B4">
            <v>72814053805</v>
          </cell>
          <cell r="D4" t="str">
            <v>매출 substantive work</v>
          </cell>
          <cell r="E4" t="str">
            <v>!</v>
          </cell>
        </row>
        <row r="5">
          <cell r="A5">
            <v>72814053805</v>
          </cell>
          <cell r="B5">
            <v>72814053805</v>
          </cell>
          <cell r="D5" t="str">
            <v>매출 substantive work</v>
          </cell>
          <cell r="E5" t="str">
            <v>!</v>
          </cell>
        </row>
        <row r="6">
          <cell r="A6">
            <v>121819770410</v>
          </cell>
          <cell r="B6">
            <v>121819770410</v>
          </cell>
          <cell r="D6" t="str">
            <v>매출 substantive work</v>
          </cell>
          <cell r="E6" t="str">
            <v>!</v>
          </cell>
        </row>
        <row r="7">
          <cell r="A7">
            <v>121819770410</v>
          </cell>
          <cell r="B7">
            <v>121819770410</v>
          </cell>
          <cell r="D7" t="str">
            <v>매출 substantive work</v>
          </cell>
          <cell r="E7" t="str">
            <v>!</v>
          </cell>
        </row>
        <row r="8">
          <cell r="A8">
            <v>115610569689</v>
          </cell>
          <cell r="B8">
            <v>115610569689</v>
          </cell>
          <cell r="D8" t="str">
            <v>매출 substantive work</v>
          </cell>
          <cell r="E8" t="str">
            <v>!</v>
          </cell>
        </row>
        <row r="9">
          <cell r="A9">
            <v>115610569689</v>
          </cell>
          <cell r="B9">
            <v>115610569689</v>
          </cell>
          <cell r="D9" t="str">
            <v>매출 substantive work</v>
          </cell>
          <cell r="E9" t="str">
            <v>!</v>
          </cell>
        </row>
        <row r="10">
          <cell r="A10">
            <v>356054499208</v>
          </cell>
          <cell r="B10">
            <v>356054499208</v>
          </cell>
          <cell r="D10" t="str">
            <v>매출 substantive work</v>
          </cell>
          <cell r="E10" t="str">
            <v>!</v>
          </cell>
        </row>
        <row r="11">
          <cell r="A11">
            <v>356054499208</v>
          </cell>
          <cell r="B11">
            <v>356054499208</v>
          </cell>
          <cell r="D11" t="str">
            <v>매출 substantive work</v>
          </cell>
          <cell r="E11" t="str">
            <v>!</v>
          </cell>
        </row>
        <row r="12">
          <cell r="A12">
            <v>309405995566</v>
          </cell>
          <cell r="B12">
            <v>309405995566</v>
          </cell>
          <cell r="D12" t="str">
            <v>매출 substantive work</v>
          </cell>
          <cell r="E12" t="str">
            <v>!</v>
          </cell>
        </row>
        <row r="13">
          <cell r="A13">
            <v>309405995566</v>
          </cell>
          <cell r="B13">
            <v>309405995566</v>
          </cell>
          <cell r="D13" t="str">
            <v>매출 substantive work</v>
          </cell>
          <cell r="E13" t="str">
            <v>!</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J2" t="str">
            <v>Y</v>
          </cell>
        </row>
      </sheetData>
      <sheetData sheetId="29">
        <row r="2">
          <cell r="J2" t="str">
            <v>Y</v>
          </cell>
        </row>
      </sheetData>
      <sheetData sheetId="30">
        <row r="2">
          <cell r="J2" t="str">
            <v>Y</v>
          </cell>
        </row>
      </sheetData>
      <sheetData sheetId="31">
        <row r="2">
          <cell r="J2" t="str">
            <v>Y</v>
          </cell>
        </row>
      </sheetData>
      <sheetData sheetId="32">
        <row r="2">
          <cell r="J2" t="str">
            <v>Y</v>
          </cell>
        </row>
      </sheetData>
      <sheetData sheetId="33"/>
      <sheetData sheetId="34"/>
      <sheetData sheetId="35"/>
      <sheetData sheetId="36">
        <row r="2">
          <cell r="A2" t="str">
            <v>CF_Working!$A$12:$A$57</v>
          </cell>
        </row>
      </sheetData>
      <sheetData sheetId="37"/>
      <sheetData sheetId="38">
        <row r="2">
          <cell r="A2" t="str">
            <v>CF_Working!$A$12:$A$57</v>
          </cell>
        </row>
      </sheetData>
      <sheetData sheetId="39">
        <row r="2">
          <cell r="A2" t="str">
            <v>CF_Working!$A$12:$A$57</v>
          </cell>
        </row>
      </sheetData>
      <sheetData sheetId="40">
        <row r="2">
          <cell r="A2" t="str">
            <v>CF_Working!$A$12:$A$57</v>
          </cell>
        </row>
      </sheetData>
      <sheetData sheetId="41">
        <row r="2">
          <cell r="A2" t="str">
            <v>CF_Working!$A$12:$A$57</v>
          </cell>
        </row>
      </sheetData>
      <sheetData sheetId="42">
        <row r="2">
          <cell r="A2" t="str">
            <v>CF_Working!$A$12:$A$57</v>
          </cell>
        </row>
      </sheetData>
      <sheetData sheetId="43"/>
      <sheetData sheetId="44"/>
      <sheetData sheetId="45"/>
      <sheetData sheetId="46"/>
      <sheetData sheetId="47"/>
      <sheetData sheetId="48"/>
      <sheetData sheetId="49"/>
      <sheetData sheetId="50">
        <row r="2">
          <cell r="J2" t="str">
            <v>Y</v>
          </cell>
        </row>
      </sheetData>
      <sheetData sheetId="51">
        <row r="2">
          <cell r="A2" t="str">
            <v>CF_Working!$A$12:$A$57</v>
          </cell>
        </row>
      </sheetData>
      <sheetData sheetId="52">
        <row r="2">
          <cell r="A2" t="str">
            <v>CF_Working!$A$12:$A$57</v>
          </cell>
        </row>
      </sheetData>
      <sheetData sheetId="53"/>
      <sheetData sheetId="54">
        <row r="2">
          <cell r="A2" t="str">
            <v>CF_Working!$A$12:$A$57</v>
          </cell>
        </row>
      </sheetData>
      <sheetData sheetId="55">
        <row r="2">
          <cell r="A2" t="str">
            <v>CF_Working!$A$12:$A$57</v>
          </cell>
        </row>
      </sheetData>
      <sheetData sheetId="56"/>
      <sheetData sheetId="57"/>
      <sheetData sheetId="58"/>
      <sheetData sheetId="59"/>
      <sheetData sheetId="60"/>
      <sheetData sheetId="61"/>
      <sheetData sheetId="62"/>
      <sheetData sheetId="63"/>
      <sheetData sheetId="64">
        <row r="2">
          <cell r="J2" t="str">
            <v>Y</v>
          </cell>
        </row>
      </sheetData>
      <sheetData sheetId="65"/>
      <sheetData sheetId="66">
        <row r="2">
          <cell r="J2" t="str">
            <v>Y</v>
          </cell>
        </row>
      </sheetData>
      <sheetData sheetId="67"/>
      <sheetData sheetId="68">
        <row r="2">
          <cell r="A2" t="str">
            <v>CF_Working!$A$12:$A$57</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sheetData sheetId="119"/>
      <sheetData sheetId="120"/>
      <sheetData sheetId="121"/>
      <sheetData sheetId="122"/>
      <sheetData sheetId="123" refreshError="1"/>
      <sheetData sheetId="124" refreshError="1"/>
      <sheetData sheetId="1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sheetName val="전세권"/>
      <sheetName val="건물임차보증금명세"/>
      <sheetName val="기타임차보증금"/>
      <sheetName val="전신전화가입권"/>
      <sheetName val="Tickmarks"/>
      <sheetName val="XREF"/>
      <sheetName val="표지어음"/>
      <sheetName val="만기보유LS"/>
      <sheetName val="리드"/>
      <sheetName val="TB(PL)"/>
      <sheetName val="BS누적"/>
      <sheetName val="수익증권"/>
      <sheetName val="선급비용"/>
      <sheetName val="미수이자"/>
      <sheetName val="Information"/>
      <sheetName val="Assets"/>
      <sheetName val="Receivables"/>
      <sheetName val="N15-Phai tra ngan han"/>
      <sheetName val="대출채권LS"/>
      <sheetName val="General information"/>
      <sheetName val="SAD"/>
      <sheetName val="SUM"/>
      <sheetName val="BS_Working"/>
      <sheetName val="TB"/>
      <sheetName val="PL_Working"/>
      <sheetName val="CF_Working"/>
      <sheetName val="BALANCE SHEET"/>
      <sheetName val="INCOME STATEMENT"/>
      <sheetName val="CASH FLOW"/>
      <sheetName val="Disclosure Checklist"/>
      <sheetName val="Notes of BS"/>
      <sheetName val="Investment"/>
      <sheetName val="OR_Shortage assets"/>
      <sheetName val="Doubtful debt"/>
      <sheetName val="Inventories"/>
      <sheetName val="PPE"/>
      <sheetName val="Investment properties"/>
      <sheetName val="Long term assets"/>
      <sheetName val="Accounts payable"/>
      <sheetName val="Tax payables"/>
      <sheetName val="Borrowings"/>
      <sheetName val="Bonds"/>
      <sheetName val="Deferred tax"/>
      <sheetName val="Owner capital"/>
      <sheetName val="Earnings per share"/>
      <sheetName val="Notes of PL"/>
      <sheetName val="Segment report"/>
      <sheetName val="CF Note"/>
      <sheetName val="Related Parties"/>
      <sheetName val="Financial risk"/>
      <sheetName val="Commitment Note"/>
      <sheetName val="Comparative figures"/>
      <sheetName val="SAD 18 +17"/>
      <sheetName val="SUM 18"/>
      <sheetName val="SUM7"/>
      <sheetName val="SUM6"/>
      <sheetName val="SUM4"/>
      <sheetName val="SUM1"/>
      <sheetName val="EX converted 19"/>
      <sheetName val="Supporting CF"/>
      <sheetName val="TB_2019"/>
      <sheetName val="BS_EN"/>
      <sheetName val="PL_EN"/>
      <sheetName val="CF_EN "/>
      <sheetName val="BS_VN"/>
      <sheetName val="PL_VN"/>
      <sheetName val="CF_VN "/>
      <sheetName val="BS_Converted"/>
      <sheetName val="PL_Converted"/>
      <sheetName val="CF_Converted "/>
      <sheetName val="Off balance sheet"/>
      <sheetName val="Other receivable"/>
      <sheetName val="Shortage of assets"/>
      <sheetName val="AP"/>
      <sheetName val="Deferred income tax"/>
      <sheetName val="Comparative figures EN"/>
      <sheetName val="Comparative figures VN"/>
      <sheetName val="CDSPS"/>
      <sheetName val="Sheet2"/>
      <sheetName val="General_information"/>
      <sheetName val="BALANCE_SHEET"/>
      <sheetName val="INCOME_STATEMENT"/>
      <sheetName val="CASH_FLOW"/>
      <sheetName val="Disclosure_Checklist"/>
      <sheetName val="Notes_of_BS"/>
      <sheetName val="OR_Shortage_assets"/>
      <sheetName val="Doubtful_debt"/>
      <sheetName val="Investment_properties"/>
      <sheetName val="Long_term_assets"/>
      <sheetName val="Accounts_payable"/>
      <sheetName val="Tax_payables"/>
      <sheetName val="Deferred_tax"/>
      <sheetName val="Owner_capital"/>
      <sheetName val="Earnings_per_share"/>
      <sheetName val="Notes_of_PL"/>
      <sheetName val="Segment_report"/>
      <sheetName val="CF_Note"/>
      <sheetName val="Related_Parties"/>
      <sheetName val="Financial_risk"/>
      <sheetName val="Commitment_Note"/>
      <sheetName val="Comparative_figures"/>
      <sheetName val="N15-Phai_tra_ngan_han"/>
      <sheetName val="FA Movement"/>
      <sheetName val="Disposal"/>
      <sheetName val="TB Dec 2019"/>
      <sheetName val="Journal entry 30 31 Dec"/>
      <sheetName val="Sheet3"/>
      <sheetName val="Lead"/>
      <sheetName val="SAD VAS"/>
      <sheetName val="#1"/>
      <sheetName val="#2"/>
      <sheetName val="#13"/>
      <sheetName val="Reconciliation Q2.19"/>
      <sheetName val="#4"/>
      <sheetName val="#5 and #6"/>
      <sheetName val="#8"/>
      <sheetName val="#9"/>
      <sheetName val="#10"/>
      <sheetName val="#11"/>
      <sheetName val="#12"/>
      <sheetName val="Provision for sales returns"/>
      <sheetName val="ADJ 3"/>
      <sheetName val="SDD"/>
      <sheetName val="CT"/>
      <sheetName val="dtct cong"/>
      <sheetName val="20. EMP BENEFIT"/>
      <sheetName val="TB(BS)"/>
    </sheetNames>
    <sheetDataSet>
      <sheetData sheetId="0">
        <row r="8">
          <cell r="C8">
            <v>54900000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row r="8">
          <cell r="C8" t="str">
            <v>Description</v>
          </cell>
        </row>
      </sheetData>
      <sheetData sheetId="26"/>
      <sheetData sheetId="27"/>
      <sheetData sheetId="28"/>
      <sheetData sheetId="29"/>
      <sheetData sheetId="30">
        <row r="8">
          <cell r="C8" t="str">
            <v>Description</v>
          </cell>
        </row>
      </sheetData>
      <sheetData sheetId="31">
        <row r="8">
          <cell r="C8" t="str">
            <v>Description</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
          <cell r="C8" t="str">
            <v>Description</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sheetData sheetId="106"/>
      <sheetData sheetId="107"/>
      <sheetData sheetId="108" refreshError="1"/>
      <sheetData sheetId="109">
        <row r="8">
          <cell r="C8">
            <v>0</v>
          </cell>
        </row>
      </sheetData>
      <sheetData sheetId="110"/>
      <sheetData sheetId="111"/>
      <sheetData sheetId="112"/>
      <sheetData sheetId="113"/>
      <sheetData sheetId="114"/>
      <sheetData sheetId="115"/>
      <sheetData sheetId="116"/>
      <sheetData sheetId="117"/>
      <sheetData sheetId="118"/>
      <sheetData sheetId="119"/>
      <sheetData sheetId="120"/>
      <sheetData sheetId="121">
        <row r="8">
          <cell r="C8" t="str">
            <v/>
          </cell>
        </row>
      </sheetData>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Land 31122016"/>
    </sheetNames>
    <sheetDataSet>
      <sheetData sheetId="0" refreshError="1">
        <row r="3">
          <cell r="A3">
            <v>11110001</v>
          </cell>
          <cell r="B3" t="str">
            <v>Cash on hand - VND -</v>
          </cell>
          <cell r="C3">
            <v>1803</v>
          </cell>
          <cell r="D3" t="str">
            <v>VND</v>
          </cell>
          <cell r="E3">
            <v>1507976</v>
          </cell>
          <cell r="F3">
            <v>20000000</v>
          </cell>
          <cell r="G3">
            <v>18500000</v>
          </cell>
          <cell r="H3">
            <v>3007976</v>
          </cell>
        </row>
        <row r="4">
          <cell r="A4">
            <v>11210142</v>
          </cell>
          <cell r="B4" t="str">
            <v>SCB</v>
          </cell>
          <cell r="C4">
            <v>1803</v>
          </cell>
          <cell r="D4" t="str">
            <v>VND</v>
          </cell>
          <cell r="E4" t="str">
            <v xml:space="preserve"> -   </v>
          </cell>
          <cell r="F4">
            <v>3800000000000</v>
          </cell>
          <cell r="G4">
            <v>3800000000000</v>
          </cell>
          <cell r="H4">
            <v>0</v>
          </cell>
        </row>
        <row r="5">
          <cell r="A5">
            <v>11212401</v>
          </cell>
          <cell r="B5" t="str">
            <v>(VND) 0071005613222</v>
          </cell>
          <cell r="C5">
            <v>1803</v>
          </cell>
          <cell r="D5" t="str">
            <v>VND</v>
          </cell>
          <cell r="E5">
            <v>86846051</v>
          </cell>
          <cell r="F5">
            <v>131180578827</v>
          </cell>
          <cell r="G5">
            <v>131174897515</v>
          </cell>
          <cell r="H5">
            <v>92527363</v>
          </cell>
        </row>
        <row r="6">
          <cell r="A6">
            <v>11218049</v>
          </cell>
          <cell r="B6" t="str">
            <v>BIDV CN Thach That</v>
          </cell>
          <cell r="C6">
            <v>1803</v>
          </cell>
          <cell r="D6" t="str">
            <v>VND</v>
          </cell>
          <cell r="E6">
            <v>1470454535</v>
          </cell>
          <cell r="F6">
            <v>7832578</v>
          </cell>
          <cell r="G6">
            <v>1478287113</v>
          </cell>
          <cell r="H6">
            <v>0</v>
          </cell>
        </row>
        <row r="7">
          <cell r="A7">
            <v>13110001</v>
          </cell>
          <cell r="B7" t="str">
            <v>Account receivables</v>
          </cell>
          <cell r="C7">
            <v>1803</v>
          </cell>
          <cell r="D7" t="str">
            <v>VND</v>
          </cell>
          <cell r="E7" t="str">
            <v xml:space="preserve"> -   </v>
          </cell>
          <cell r="F7">
            <v>758989127445</v>
          </cell>
          <cell r="G7">
            <v>804347951917</v>
          </cell>
          <cell r="H7">
            <v>-45358824472</v>
          </cell>
        </row>
        <row r="8">
          <cell r="A8">
            <v>13311000</v>
          </cell>
          <cell r="B8" t="str">
            <v>Deductible input VAT</v>
          </cell>
          <cell r="C8">
            <v>1803</v>
          </cell>
          <cell r="D8" t="str">
            <v>VND</v>
          </cell>
          <cell r="E8" t="str">
            <v xml:space="preserve"> -   </v>
          </cell>
          <cell r="F8">
            <v>39859091</v>
          </cell>
          <cell r="G8">
            <v>39859091</v>
          </cell>
          <cell r="H8">
            <v>0</v>
          </cell>
        </row>
        <row r="9">
          <cell r="A9">
            <v>13680001</v>
          </cell>
          <cell r="B9" t="str">
            <v>Inter-company receiv</v>
          </cell>
          <cell r="C9">
            <v>1801</v>
          </cell>
          <cell r="D9" t="str">
            <v>VND</v>
          </cell>
          <cell r="E9">
            <v>1269080860077</v>
          </cell>
          <cell r="F9">
            <v>555668984007</v>
          </cell>
          <cell r="G9" t="str">
            <v xml:space="preserve"> -   </v>
          </cell>
          <cell r="H9">
            <v>1824749844084</v>
          </cell>
        </row>
        <row r="10">
          <cell r="A10">
            <v>13680001</v>
          </cell>
          <cell r="B10" t="str">
            <v>Inter-company receiv</v>
          </cell>
          <cell r="C10">
            <v>1803</v>
          </cell>
          <cell r="D10" t="str">
            <v>VND</v>
          </cell>
          <cell r="E10">
            <v>300901185967</v>
          </cell>
          <cell r="F10">
            <v>87910402194</v>
          </cell>
          <cell r="G10" t="str">
            <v xml:space="preserve"> -   </v>
          </cell>
          <cell r="H10">
            <v>388811588161</v>
          </cell>
        </row>
        <row r="11">
          <cell r="A11">
            <v>13680001</v>
          </cell>
          <cell r="B11" t="str">
            <v>Inter-company receiv</v>
          </cell>
          <cell r="C11">
            <v>1804</v>
          </cell>
          <cell r="D11" t="str">
            <v>VND</v>
          </cell>
          <cell r="E11">
            <v>50252967652</v>
          </cell>
          <cell r="F11" t="str">
            <v xml:space="preserve"> -   </v>
          </cell>
          <cell r="G11" t="str">
            <v xml:space="preserve"> -   </v>
          </cell>
          <cell r="H11">
            <v>50252967652</v>
          </cell>
        </row>
        <row r="12">
          <cell r="A12">
            <v>13680001</v>
          </cell>
          <cell r="B12" t="str">
            <v>Inter-company receiv</v>
          </cell>
          <cell r="C12">
            <v>1806</v>
          </cell>
          <cell r="D12" t="str">
            <v>VND</v>
          </cell>
          <cell r="E12">
            <v>8326436945</v>
          </cell>
          <cell r="F12" t="str">
            <v xml:space="preserve"> -   </v>
          </cell>
          <cell r="G12" t="str">
            <v xml:space="preserve"> -   </v>
          </cell>
          <cell r="H12">
            <v>8326436945</v>
          </cell>
        </row>
        <row r="13">
          <cell r="A13">
            <v>13880001</v>
          </cell>
          <cell r="B13" t="str">
            <v>Other receivables</v>
          </cell>
          <cell r="C13">
            <v>1801</v>
          </cell>
          <cell r="D13" t="str">
            <v>VND</v>
          </cell>
          <cell r="E13">
            <v>550656975000</v>
          </cell>
          <cell r="F13" t="str">
            <v xml:space="preserve"> -   </v>
          </cell>
          <cell r="G13">
            <v>550656975000</v>
          </cell>
          <cell r="H13">
            <v>0</v>
          </cell>
        </row>
        <row r="14">
          <cell r="A14">
            <v>13880001</v>
          </cell>
          <cell r="B14" t="str">
            <v>Other receivables</v>
          </cell>
          <cell r="C14">
            <v>1803</v>
          </cell>
          <cell r="D14" t="str">
            <v>VND</v>
          </cell>
          <cell r="E14">
            <v>9000000000</v>
          </cell>
          <cell r="F14">
            <v>656975000</v>
          </cell>
          <cell r="G14">
            <v>9656975000</v>
          </cell>
          <cell r="H14">
            <v>0</v>
          </cell>
        </row>
        <row r="15">
          <cell r="A15">
            <v>14110001</v>
          </cell>
          <cell r="B15" t="str">
            <v>Advances to employee</v>
          </cell>
          <cell r="C15">
            <v>1803</v>
          </cell>
          <cell r="D15" t="str">
            <v>VND</v>
          </cell>
          <cell r="E15">
            <v>400000000</v>
          </cell>
          <cell r="F15">
            <v>15000000</v>
          </cell>
          <cell r="G15" t="str">
            <v xml:space="preserve"> -   </v>
          </cell>
          <cell r="H15">
            <v>415000000</v>
          </cell>
        </row>
        <row r="16">
          <cell r="A16">
            <v>21120001</v>
          </cell>
          <cell r="B16" t="str">
            <v>Machinery, equipment</v>
          </cell>
          <cell r="C16">
            <v>1803</v>
          </cell>
          <cell r="D16" t="str">
            <v>VND</v>
          </cell>
          <cell r="E16">
            <v>497901439936</v>
          </cell>
          <cell r="F16" t="str">
            <v xml:space="preserve"> -   </v>
          </cell>
          <cell r="G16" t="str">
            <v xml:space="preserve"> -   </v>
          </cell>
          <cell r="H16">
            <v>497901439936</v>
          </cell>
        </row>
        <row r="17">
          <cell r="A17">
            <v>21140001</v>
          </cell>
          <cell r="B17" t="str">
            <v>Tools, equipment for</v>
          </cell>
          <cell r="C17">
            <v>1803</v>
          </cell>
          <cell r="D17" t="str">
            <v>VND</v>
          </cell>
          <cell r="E17">
            <v>205464255</v>
          </cell>
          <cell r="F17" t="str">
            <v xml:space="preserve"> -   </v>
          </cell>
          <cell r="G17" t="str">
            <v xml:space="preserve"> -   </v>
          </cell>
          <cell r="H17">
            <v>205464255</v>
          </cell>
        </row>
        <row r="18">
          <cell r="A18">
            <v>21350001</v>
          </cell>
          <cell r="B18" t="str">
            <v>Computer software</v>
          </cell>
          <cell r="C18">
            <v>1803</v>
          </cell>
          <cell r="D18" t="str">
            <v>VND</v>
          </cell>
          <cell r="E18">
            <v>8358798645</v>
          </cell>
          <cell r="F18" t="str">
            <v xml:space="preserve"> -   </v>
          </cell>
          <cell r="G18" t="str">
            <v xml:space="preserve"> -   </v>
          </cell>
          <cell r="H18">
            <v>8358798645</v>
          </cell>
        </row>
        <row r="19">
          <cell r="A19">
            <v>21410002</v>
          </cell>
          <cell r="B19" t="str">
            <v>Depreciation - Machi</v>
          </cell>
          <cell r="C19">
            <v>1803</v>
          </cell>
          <cell r="D19" t="str">
            <v>VND</v>
          </cell>
          <cell r="E19">
            <v>-212238951406</v>
          </cell>
          <cell r="F19" t="str">
            <v xml:space="preserve"> -   </v>
          </cell>
          <cell r="G19">
            <v>49735442656</v>
          </cell>
          <cell r="H19">
            <v>-261974394062</v>
          </cell>
        </row>
        <row r="20">
          <cell r="A20">
            <v>21410004</v>
          </cell>
          <cell r="B20" t="str">
            <v>Depreciation -Tools,</v>
          </cell>
          <cell r="C20">
            <v>1803</v>
          </cell>
          <cell r="D20" t="str">
            <v>VND</v>
          </cell>
          <cell r="E20">
            <v>-205464255</v>
          </cell>
          <cell r="F20" t="str">
            <v xml:space="preserve"> -   </v>
          </cell>
          <cell r="G20" t="str">
            <v xml:space="preserve"> -   </v>
          </cell>
          <cell r="H20">
            <v>-205464255</v>
          </cell>
        </row>
        <row r="21">
          <cell r="A21">
            <v>21430005</v>
          </cell>
          <cell r="B21" t="str">
            <v>Depreciation -Comput</v>
          </cell>
          <cell r="C21">
            <v>1803</v>
          </cell>
          <cell r="D21" t="str">
            <v>VND</v>
          </cell>
          <cell r="E21">
            <v>-7109528848</v>
          </cell>
          <cell r="F21" t="str">
            <v xml:space="preserve"> -   </v>
          </cell>
          <cell r="G21">
            <v>1249269797</v>
          </cell>
          <cell r="H21">
            <v>-8358798645</v>
          </cell>
        </row>
        <row r="22">
          <cell r="A22">
            <v>21470001</v>
          </cell>
          <cell r="B22" t="str">
            <v>Depreciation of real</v>
          </cell>
          <cell r="C22">
            <v>1803</v>
          </cell>
          <cell r="D22" t="str">
            <v>VND</v>
          </cell>
          <cell r="E22">
            <v>-522994477195</v>
          </cell>
          <cell r="F22" t="str">
            <v xml:space="preserve"> -   </v>
          </cell>
          <cell r="G22">
            <v>123258190012</v>
          </cell>
          <cell r="H22">
            <v>-646252667207</v>
          </cell>
        </row>
        <row r="23">
          <cell r="A23">
            <v>21470002</v>
          </cell>
          <cell r="B23" t="str">
            <v>Depreciation of real</v>
          </cell>
          <cell r="C23">
            <v>1803</v>
          </cell>
          <cell r="D23" t="str">
            <v>VND</v>
          </cell>
          <cell r="E23">
            <v>-56855357</v>
          </cell>
          <cell r="F23" t="str">
            <v xml:space="preserve"> -   </v>
          </cell>
          <cell r="G23" t="str">
            <v xml:space="preserve"> -   </v>
          </cell>
          <cell r="H23">
            <v>-56855357</v>
          </cell>
        </row>
        <row r="24">
          <cell r="A24">
            <v>21710001</v>
          </cell>
          <cell r="B24" t="str">
            <v>Invested real estate</v>
          </cell>
          <cell r="C24">
            <v>1803</v>
          </cell>
          <cell r="D24" t="str">
            <v>VND</v>
          </cell>
          <cell r="E24">
            <v>5669080765580</v>
          </cell>
          <cell r="F24" t="str">
            <v xml:space="preserve"> -   </v>
          </cell>
          <cell r="G24" t="str">
            <v xml:space="preserve"> -   </v>
          </cell>
          <cell r="H24">
            <v>5669080765580</v>
          </cell>
        </row>
        <row r="25">
          <cell r="A25">
            <v>33110001</v>
          </cell>
          <cell r="B25" t="str">
            <v>Accounts payable - T</v>
          </cell>
          <cell r="C25">
            <v>1803</v>
          </cell>
          <cell r="D25" t="str">
            <v>VND</v>
          </cell>
          <cell r="E25" t="str">
            <v xml:space="preserve"> -   </v>
          </cell>
          <cell r="F25">
            <v>288600000</v>
          </cell>
          <cell r="G25">
            <v>437550000</v>
          </cell>
          <cell r="H25">
            <v>-148950000</v>
          </cell>
        </row>
        <row r="26">
          <cell r="A26">
            <v>33110001</v>
          </cell>
          <cell r="B26" t="str">
            <v>Accounts payable - T</v>
          </cell>
          <cell r="C26">
            <v>1804</v>
          </cell>
          <cell r="D26" t="str">
            <v>VND</v>
          </cell>
          <cell r="E26" t="str">
            <v xml:space="preserve"> -   </v>
          </cell>
          <cell r="F26">
            <v>5293226</v>
          </cell>
          <cell r="G26">
            <v>5293226</v>
          </cell>
          <cell r="H26">
            <v>0</v>
          </cell>
        </row>
        <row r="27">
          <cell r="A27">
            <v>33310001</v>
          </cell>
          <cell r="B27" t="str">
            <v>Payable VAT</v>
          </cell>
          <cell r="C27">
            <v>1801</v>
          </cell>
          <cell r="D27" t="str">
            <v>VND</v>
          </cell>
          <cell r="E27">
            <v>-76099164521</v>
          </cell>
          <cell r="F27">
            <v>76099164521</v>
          </cell>
          <cell r="G27" t="str">
            <v xml:space="preserve"> -   </v>
          </cell>
          <cell r="H27">
            <v>0</v>
          </cell>
        </row>
        <row r="28">
          <cell r="A28">
            <v>33310001</v>
          </cell>
          <cell r="B28" t="str">
            <v>Payable VAT</v>
          </cell>
          <cell r="C28">
            <v>1803</v>
          </cell>
          <cell r="D28" t="str">
            <v>VND</v>
          </cell>
          <cell r="E28">
            <v>-1919604756</v>
          </cell>
          <cell r="F28">
            <v>67452143183</v>
          </cell>
          <cell r="G28">
            <v>65465588657</v>
          </cell>
          <cell r="H28">
            <v>66949770</v>
          </cell>
        </row>
        <row r="29">
          <cell r="A29">
            <v>33310001</v>
          </cell>
          <cell r="B29" t="str">
            <v>Payable VAT</v>
          </cell>
          <cell r="C29">
            <v>1804</v>
          </cell>
          <cell r="D29" t="str">
            <v>VND</v>
          </cell>
          <cell r="E29">
            <v>-2165115784</v>
          </cell>
          <cell r="F29">
            <v>2165115784</v>
          </cell>
          <cell r="G29" t="str">
            <v xml:space="preserve"> -   </v>
          </cell>
          <cell r="H29">
            <v>0</v>
          </cell>
        </row>
        <row r="30">
          <cell r="A30">
            <v>33310001</v>
          </cell>
          <cell r="B30" t="str">
            <v>Payable VAT</v>
          </cell>
          <cell r="C30">
            <v>1805</v>
          </cell>
          <cell r="D30" t="str">
            <v>VND</v>
          </cell>
          <cell r="E30">
            <v>-1436619914</v>
          </cell>
          <cell r="F30">
            <v>1436619914</v>
          </cell>
          <cell r="G30" t="str">
            <v xml:space="preserve"> -   </v>
          </cell>
          <cell r="H30">
            <v>0</v>
          </cell>
        </row>
        <row r="31">
          <cell r="A31">
            <v>33310001</v>
          </cell>
          <cell r="B31" t="str">
            <v>Payable VAT</v>
          </cell>
          <cell r="C31">
            <v>1806</v>
          </cell>
          <cell r="D31" t="str">
            <v>VND</v>
          </cell>
          <cell r="E31">
            <v>-221180223</v>
          </cell>
          <cell r="F31">
            <v>221180223</v>
          </cell>
          <cell r="G31" t="str">
            <v xml:space="preserve"> -   </v>
          </cell>
          <cell r="H31">
            <v>0</v>
          </cell>
        </row>
        <row r="32">
          <cell r="A32">
            <v>33389999</v>
          </cell>
          <cell r="B32" t="str">
            <v>Other tax</v>
          </cell>
          <cell r="C32">
            <v>1803</v>
          </cell>
          <cell r="D32" t="str">
            <v>VND</v>
          </cell>
          <cell r="E32" t="str">
            <v xml:space="preserve"> -   </v>
          </cell>
          <cell r="F32">
            <v>4000000000</v>
          </cell>
          <cell r="G32">
            <v>4000000000</v>
          </cell>
          <cell r="H32">
            <v>0</v>
          </cell>
        </row>
        <row r="33">
          <cell r="A33">
            <v>33510001</v>
          </cell>
          <cell r="B33" t="str">
            <v>Accrued expenses</v>
          </cell>
          <cell r="C33">
            <v>1803</v>
          </cell>
          <cell r="D33" t="str">
            <v>VND</v>
          </cell>
          <cell r="E33">
            <v>-5314471822</v>
          </cell>
          <cell r="F33">
            <v>4000000000</v>
          </cell>
          <cell r="G33" t="str">
            <v xml:space="preserve"> -   </v>
          </cell>
          <cell r="H33">
            <v>-1314471822</v>
          </cell>
        </row>
        <row r="34">
          <cell r="A34">
            <v>33680001</v>
          </cell>
          <cell r="B34" t="str">
            <v>Inter-company payabl</v>
          </cell>
          <cell r="C34">
            <v>1801</v>
          </cell>
          <cell r="D34" t="str">
            <v>VND</v>
          </cell>
          <cell r="E34">
            <v>-300810286168</v>
          </cell>
          <cell r="F34" t="str">
            <v xml:space="preserve"> -   </v>
          </cell>
          <cell r="G34">
            <v>76099164521</v>
          </cell>
          <cell r="H34">
            <v>-376909450689</v>
          </cell>
        </row>
        <row r="35">
          <cell r="A35">
            <v>33680001</v>
          </cell>
          <cell r="B35" t="str">
            <v>Inter-company payabl</v>
          </cell>
          <cell r="C35">
            <v>1803</v>
          </cell>
          <cell r="D35" t="str">
            <v>VND</v>
          </cell>
          <cell r="E35">
            <v>-1305306891650</v>
          </cell>
          <cell r="F35" t="str">
            <v xml:space="preserve"> -   </v>
          </cell>
          <cell r="G35">
            <v>550656975000</v>
          </cell>
          <cell r="H35">
            <v>-1855963866650</v>
          </cell>
        </row>
        <row r="36">
          <cell r="A36">
            <v>33680001</v>
          </cell>
          <cell r="B36" t="str">
            <v>Inter-company payabl</v>
          </cell>
          <cell r="C36">
            <v>1804</v>
          </cell>
          <cell r="D36" t="str">
            <v>VND</v>
          </cell>
          <cell r="E36">
            <v>-988061252</v>
          </cell>
          <cell r="F36" t="str">
            <v xml:space="preserve"> -   </v>
          </cell>
          <cell r="G36">
            <v>2165115784</v>
          </cell>
          <cell r="H36">
            <v>-3153177036</v>
          </cell>
        </row>
        <row r="37">
          <cell r="A37">
            <v>33680001</v>
          </cell>
          <cell r="B37" t="str">
            <v>Inter-company payabl</v>
          </cell>
          <cell r="C37">
            <v>1805</v>
          </cell>
          <cell r="D37" t="str">
            <v>VND</v>
          </cell>
          <cell r="E37">
            <v>-21241203952</v>
          </cell>
          <cell r="F37" t="str">
            <v xml:space="preserve"> -   </v>
          </cell>
          <cell r="G37">
            <v>11658550807</v>
          </cell>
          <cell r="H37">
            <v>-32899754759</v>
          </cell>
        </row>
        <row r="38">
          <cell r="A38">
            <v>33680001</v>
          </cell>
          <cell r="B38" t="str">
            <v>Inter-company payabl</v>
          </cell>
          <cell r="C38">
            <v>1806</v>
          </cell>
          <cell r="D38" t="str">
            <v>VND</v>
          </cell>
          <cell r="E38">
            <v>-215007619</v>
          </cell>
          <cell r="F38" t="str">
            <v xml:space="preserve"> -   </v>
          </cell>
          <cell r="G38">
            <v>2999580089</v>
          </cell>
          <cell r="H38">
            <v>-3214587708</v>
          </cell>
        </row>
        <row r="39">
          <cell r="A39">
            <v>33873301</v>
          </cell>
          <cell r="B39" t="str">
            <v>Office for lease</v>
          </cell>
          <cell r="C39">
            <v>1803</v>
          </cell>
          <cell r="D39" t="str">
            <v>VND</v>
          </cell>
          <cell r="E39">
            <v>-66528496320</v>
          </cell>
          <cell r="F39">
            <v>174861829654</v>
          </cell>
          <cell r="G39">
            <v>108333333334</v>
          </cell>
          <cell r="H39">
            <v>0</v>
          </cell>
        </row>
        <row r="40">
          <cell r="A40">
            <v>33880001</v>
          </cell>
          <cell r="B40" t="str">
            <v>Other payables</v>
          </cell>
          <cell r="C40">
            <v>1801</v>
          </cell>
          <cell r="D40" t="str">
            <v>VND</v>
          </cell>
          <cell r="E40">
            <v>5012009007</v>
          </cell>
          <cell r="F40" t="str">
            <v xml:space="preserve"> -   </v>
          </cell>
          <cell r="G40">
            <v>5012009007</v>
          </cell>
          <cell r="H40">
            <v>0</v>
          </cell>
        </row>
        <row r="41">
          <cell r="A41">
            <v>33880001</v>
          </cell>
          <cell r="B41" t="str">
            <v>Other payables</v>
          </cell>
          <cell r="C41">
            <v>1803</v>
          </cell>
          <cell r="D41" t="str">
            <v>VND</v>
          </cell>
          <cell r="E41">
            <v>-3700209364713</v>
          </cell>
          <cell r="F41">
            <v>4848190277539</v>
          </cell>
          <cell r="G41">
            <v>1173242912826</v>
          </cell>
          <cell r="H41">
            <v>-25262000000</v>
          </cell>
        </row>
        <row r="42">
          <cell r="A42">
            <v>33880001</v>
          </cell>
          <cell r="B42" t="str">
            <v>Other payables</v>
          </cell>
          <cell r="C42">
            <v>1804</v>
          </cell>
          <cell r="D42" t="str">
            <v>VND</v>
          </cell>
          <cell r="E42" t="str">
            <v xml:space="preserve"> -   </v>
          </cell>
          <cell r="F42">
            <v>5293226</v>
          </cell>
          <cell r="G42">
            <v>5293226</v>
          </cell>
          <cell r="H42">
            <v>0</v>
          </cell>
        </row>
        <row r="43">
          <cell r="A43">
            <v>33880001</v>
          </cell>
          <cell r="B43" t="str">
            <v>Other payables</v>
          </cell>
          <cell r="C43">
            <v>1805</v>
          </cell>
          <cell r="D43" t="str">
            <v>VND</v>
          </cell>
          <cell r="E43">
            <v>-29469456418</v>
          </cell>
          <cell r="F43">
            <v>16331146909</v>
          </cell>
          <cell r="G43">
            <v>6109216016</v>
          </cell>
          <cell r="H43">
            <v>-19247525525</v>
          </cell>
        </row>
        <row r="44">
          <cell r="A44">
            <v>33880001</v>
          </cell>
          <cell r="B44" t="str">
            <v>Other payables</v>
          </cell>
          <cell r="C44">
            <v>1806</v>
          </cell>
          <cell r="D44" t="str">
            <v>VND</v>
          </cell>
          <cell r="E44">
            <v>-2778399866</v>
          </cell>
          <cell r="F44">
            <v>2778399866</v>
          </cell>
          <cell r="G44" t="str">
            <v xml:space="preserve"> -   </v>
          </cell>
          <cell r="H44">
            <v>0</v>
          </cell>
        </row>
        <row r="45">
          <cell r="A45">
            <v>34410001</v>
          </cell>
          <cell r="B45" t="str">
            <v>Receipt of long-term</v>
          </cell>
          <cell r="C45">
            <v>1803</v>
          </cell>
          <cell r="D45" t="str">
            <v>VND</v>
          </cell>
          <cell r="E45" t="str">
            <v xml:space="preserve"> -   </v>
          </cell>
          <cell r="F45">
            <v>216666666667</v>
          </cell>
          <cell r="G45">
            <v>3250000000000</v>
          </cell>
          <cell r="H45">
            <v>-3033333333333</v>
          </cell>
        </row>
        <row r="46">
          <cell r="A46">
            <v>41110001</v>
          </cell>
          <cell r="B46" t="str">
            <v>Paid in capital</v>
          </cell>
          <cell r="C46">
            <v>1801</v>
          </cell>
          <cell r="D46" t="str">
            <v>VND</v>
          </cell>
          <cell r="E46">
            <v>-292911804763</v>
          </cell>
          <cell r="F46" t="str">
            <v xml:space="preserve"> -   </v>
          </cell>
          <cell r="G46" t="str">
            <v xml:space="preserve"> -   </v>
          </cell>
          <cell r="H46">
            <v>-292911804763</v>
          </cell>
        </row>
        <row r="47">
          <cell r="A47">
            <v>41110001</v>
          </cell>
          <cell r="B47" t="str">
            <v>Paid in capital</v>
          </cell>
          <cell r="C47">
            <v>1803</v>
          </cell>
          <cell r="D47" t="str">
            <v>VND</v>
          </cell>
          <cell r="E47">
            <v>-2198548459505</v>
          </cell>
          <cell r="F47" t="str">
            <v xml:space="preserve"> -   </v>
          </cell>
          <cell r="G47" t="str">
            <v xml:space="preserve"> -   </v>
          </cell>
          <cell r="H47">
            <v>-2198548459505</v>
          </cell>
        </row>
        <row r="48">
          <cell r="A48">
            <v>41180001</v>
          </cell>
          <cell r="B48" t="str">
            <v>Other capital</v>
          </cell>
          <cell r="C48">
            <v>1801</v>
          </cell>
          <cell r="D48" t="str">
            <v>VND</v>
          </cell>
          <cell r="E48">
            <v>-746000000000</v>
          </cell>
          <cell r="F48" t="str">
            <v xml:space="preserve"> -   </v>
          </cell>
          <cell r="G48" t="str">
            <v xml:space="preserve"> -   </v>
          </cell>
          <cell r="H48">
            <v>-746000000000</v>
          </cell>
        </row>
        <row r="49">
          <cell r="A49">
            <v>41180001</v>
          </cell>
          <cell r="B49" t="str">
            <v>Other capital</v>
          </cell>
          <cell r="C49">
            <v>1803</v>
          </cell>
          <cell r="D49" t="str">
            <v>VND</v>
          </cell>
          <cell r="E49">
            <v>-96429546468</v>
          </cell>
          <cell r="F49" t="str">
            <v xml:space="preserve"> -   </v>
          </cell>
          <cell r="G49" t="str">
            <v xml:space="preserve"> -   </v>
          </cell>
          <cell r="H49">
            <v>-96429546468</v>
          </cell>
        </row>
        <row r="50">
          <cell r="A50">
            <v>42110001</v>
          </cell>
          <cell r="B50" t="str">
            <v>Previous year undist</v>
          </cell>
          <cell r="C50">
            <v>1801</v>
          </cell>
          <cell r="D50" t="str">
            <v>VND</v>
          </cell>
          <cell r="E50">
            <v>-257095</v>
          </cell>
          <cell r="F50" t="str">
            <v xml:space="preserve"> -   </v>
          </cell>
          <cell r="G50" t="str">
            <v xml:space="preserve"> -   </v>
          </cell>
          <cell r="H50">
            <v>-257095</v>
          </cell>
        </row>
        <row r="51">
          <cell r="A51">
            <v>42120001</v>
          </cell>
          <cell r="B51" t="str">
            <v>This year undistribu</v>
          </cell>
          <cell r="C51">
            <v>1801</v>
          </cell>
          <cell r="D51" t="str">
            <v>VND</v>
          </cell>
          <cell r="E51">
            <v>-408928331537</v>
          </cell>
          <cell r="F51" t="str">
            <v xml:space="preserve"> -   </v>
          </cell>
          <cell r="G51" t="str">
            <v xml:space="preserve"> -   </v>
          </cell>
          <cell r="H51">
            <v>-408928331537</v>
          </cell>
        </row>
        <row r="52">
          <cell r="A52">
            <v>42120001</v>
          </cell>
          <cell r="B52" t="str">
            <v>This year undistribu</v>
          </cell>
          <cell r="C52">
            <v>1803</v>
          </cell>
          <cell r="D52" t="str">
            <v>VND</v>
          </cell>
          <cell r="E52">
            <v>1629455649350</v>
          </cell>
          <cell r="F52" t="str">
            <v xml:space="preserve"> -   </v>
          </cell>
          <cell r="G52" t="str">
            <v xml:space="preserve"> -   </v>
          </cell>
          <cell r="H52">
            <v>1629455649350</v>
          </cell>
        </row>
        <row r="53">
          <cell r="A53">
            <v>42120001</v>
          </cell>
          <cell r="B53" t="str">
            <v>This year undistribu</v>
          </cell>
          <cell r="C53">
            <v>1804</v>
          </cell>
          <cell r="D53" t="str">
            <v>VND</v>
          </cell>
          <cell r="E53">
            <v>-47099790616</v>
          </cell>
          <cell r="F53" t="str">
            <v xml:space="preserve"> -   </v>
          </cell>
          <cell r="G53" t="str">
            <v xml:space="preserve"> -   </v>
          </cell>
          <cell r="H53">
            <v>-47099790616</v>
          </cell>
        </row>
        <row r="54">
          <cell r="A54">
            <v>42120001</v>
          </cell>
          <cell r="B54" t="str">
            <v>This year undistribu</v>
          </cell>
          <cell r="C54">
            <v>1805</v>
          </cell>
          <cell r="D54" t="str">
            <v>VND</v>
          </cell>
          <cell r="E54">
            <v>52147280284</v>
          </cell>
          <cell r="F54" t="str">
            <v xml:space="preserve"> -   </v>
          </cell>
          <cell r="G54" t="str">
            <v xml:space="preserve"> -   </v>
          </cell>
          <cell r="H54">
            <v>52147280284</v>
          </cell>
        </row>
        <row r="55">
          <cell r="A55">
            <v>42120001</v>
          </cell>
          <cell r="B55" t="str">
            <v>This year undistribu</v>
          </cell>
          <cell r="C55">
            <v>1806</v>
          </cell>
          <cell r="D55" t="str">
            <v>VND</v>
          </cell>
          <cell r="E55">
            <v>-5111849237</v>
          </cell>
          <cell r="F55" t="str">
            <v xml:space="preserve"> -   </v>
          </cell>
          <cell r="G55" t="str">
            <v xml:space="preserve"> -   </v>
          </cell>
          <cell r="H55">
            <v>-5111849237</v>
          </cell>
        </row>
        <row r="56">
          <cell r="A56">
            <v>51171001</v>
          </cell>
          <cell r="B56" t="str">
            <v>Office for lease</v>
          </cell>
          <cell r="C56">
            <v>1803</v>
          </cell>
          <cell r="D56" t="str">
            <v>VND</v>
          </cell>
          <cell r="E56" t="str">
            <v xml:space="preserve"> -   </v>
          </cell>
          <cell r="F56" t="str">
            <v xml:space="preserve"> -   </v>
          </cell>
          <cell r="G56">
            <v>108333333334</v>
          </cell>
          <cell r="H56">
            <v>-108333333334</v>
          </cell>
        </row>
        <row r="57">
          <cell r="A57">
            <v>51171999</v>
          </cell>
          <cell r="B57" t="str">
            <v>Lease - Other RE</v>
          </cell>
          <cell r="C57">
            <v>1803</v>
          </cell>
          <cell r="D57" t="str">
            <v>VND</v>
          </cell>
          <cell r="E57" t="str">
            <v xml:space="preserve"> -   </v>
          </cell>
          <cell r="F57">
            <v>437989219886</v>
          </cell>
          <cell r="G57">
            <v>546322553220</v>
          </cell>
          <cell r="H57">
            <v>-108333333334</v>
          </cell>
        </row>
        <row r="58">
          <cell r="A58">
            <v>51510001</v>
          </cell>
          <cell r="B58" t="str">
            <v>Interest for lending</v>
          </cell>
          <cell r="C58">
            <v>1803</v>
          </cell>
          <cell r="D58" t="str">
            <v>VND</v>
          </cell>
          <cell r="E58" t="str">
            <v xml:space="preserve"> -   </v>
          </cell>
          <cell r="F58" t="str">
            <v xml:space="preserve"> -   </v>
          </cell>
          <cell r="G58">
            <v>8580357</v>
          </cell>
          <cell r="H58">
            <v>-8580357</v>
          </cell>
        </row>
        <row r="59">
          <cell r="A59">
            <v>62720020</v>
          </cell>
          <cell r="B59" t="str">
            <v>Accommodation</v>
          </cell>
          <cell r="C59">
            <v>1803</v>
          </cell>
          <cell r="D59" t="str">
            <v>VND</v>
          </cell>
          <cell r="E59" t="str">
            <v xml:space="preserve"> -   </v>
          </cell>
          <cell r="F59">
            <v>1090909</v>
          </cell>
          <cell r="G59" t="str">
            <v xml:space="preserve"> -   </v>
          </cell>
          <cell r="H59">
            <v>1090909</v>
          </cell>
        </row>
        <row r="60">
          <cell r="A60">
            <v>62729999</v>
          </cell>
          <cell r="B60" t="str">
            <v>Others</v>
          </cell>
          <cell r="C60">
            <v>1803</v>
          </cell>
          <cell r="D60" t="str">
            <v>VND</v>
          </cell>
          <cell r="E60" t="str">
            <v xml:space="preserve"> -   </v>
          </cell>
          <cell r="F60">
            <v>300000</v>
          </cell>
          <cell r="G60" t="str">
            <v xml:space="preserve"> -   </v>
          </cell>
          <cell r="H60">
            <v>300000</v>
          </cell>
        </row>
        <row r="61">
          <cell r="A61">
            <v>62730003</v>
          </cell>
          <cell r="B61" t="str">
            <v>Legal fee</v>
          </cell>
          <cell r="C61">
            <v>1803</v>
          </cell>
          <cell r="D61" t="str">
            <v>VND</v>
          </cell>
          <cell r="E61" t="str">
            <v xml:space="preserve"> -   </v>
          </cell>
          <cell r="F61">
            <v>357500000</v>
          </cell>
          <cell r="G61" t="str">
            <v xml:space="preserve"> -   </v>
          </cell>
          <cell r="H61">
            <v>357500000</v>
          </cell>
        </row>
        <row r="62">
          <cell r="A62">
            <v>62740001</v>
          </cell>
          <cell r="B62" t="str">
            <v>Depreciation Expense</v>
          </cell>
          <cell r="C62">
            <v>1803</v>
          </cell>
          <cell r="D62" t="str">
            <v>VND</v>
          </cell>
          <cell r="E62" t="str">
            <v xml:space="preserve"> -   </v>
          </cell>
          <cell r="F62">
            <v>123258190012</v>
          </cell>
          <cell r="G62" t="str">
            <v xml:space="preserve"> -   </v>
          </cell>
          <cell r="H62">
            <v>123258190012</v>
          </cell>
        </row>
        <row r="63">
          <cell r="A63">
            <v>62750002</v>
          </cell>
          <cell r="B63" t="str">
            <v>Machinery, equipment</v>
          </cell>
          <cell r="C63">
            <v>1803</v>
          </cell>
          <cell r="D63" t="str">
            <v>VND</v>
          </cell>
          <cell r="E63" t="str">
            <v xml:space="preserve"> -   </v>
          </cell>
          <cell r="F63">
            <v>49735442656</v>
          </cell>
          <cell r="G63" t="str">
            <v xml:space="preserve"> -   </v>
          </cell>
          <cell r="H63">
            <v>49735442656</v>
          </cell>
        </row>
        <row r="64">
          <cell r="A64">
            <v>62760005</v>
          </cell>
          <cell r="B64" t="str">
            <v>Computer software</v>
          </cell>
          <cell r="C64">
            <v>1803</v>
          </cell>
          <cell r="D64" t="str">
            <v>VND</v>
          </cell>
          <cell r="E64" t="str">
            <v xml:space="preserve"> -   </v>
          </cell>
          <cell r="F64">
            <v>1249269797</v>
          </cell>
          <cell r="G64" t="str">
            <v xml:space="preserve"> -   </v>
          </cell>
          <cell r="H64">
            <v>1249269797</v>
          </cell>
        </row>
        <row r="65">
          <cell r="A65">
            <v>62790002</v>
          </cell>
          <cell r="B65" t="str">
            <v>Construction Expense</v>
          </cell>
          <cell r="C65">
            <v>1803</v>
          </cell>
          <cell r="D65" t="str">
            <v>VND</v>
          </cell>
          <cell r="E65" t="str">
            <v xml:space="preserve"> -   </v>
          </cell>
          <cell r="F65" t="str">
            <v xml:space="preserve"> -   </v>
          </cell>
          <cell r="G65">
            <v>174601793374</v>
          </cell>
          <cell r="H65">
            <v>-174601793374</v>
          </cell>
        </row>
        <row r="66">
          <cell r="A66">
            <v>63271001</v>
          </cell>
          <cell r="B66" t="str">
            <v>Office for lease</v>
          </cell>
          <cell r="C66">
            <v>1803</v>
          </cell>
          <cell r="D66" t="str">
            <v>VND</v>
          </cell>
          <cell r="E66" t="str">
            <v xml:space="preserve"> -   </v>
          </cell>
          <cell r="F66">
            <v>300000</v>
          </cell>
          <cell r="G66" t="str">
            <v xml:space="preserve"> -   </v>
          </cell>
          <cell r="H66">
            <v>300000</v>
          </cell>
        </row>
        <row r="67">
          <cell r="A67">
            <v>63271999</v>
          </cell>
          <cell r="B67" t="str">
            <v>Other RE for lease</v>
          </cell>
          <cell r="C67">
            <v>1803</v>
          </cell>
          <cell r="D67" t="str">
            <v>VND</v>
          </cell>
          <cell r="E67" t="str">
            <v xml:space="preserve"> -   </v>
          </cell>
          <cell r="F67">
            <v>174601493374</v>
          </cell>
          <cell r="G67" t="str">
            <v xml:space="preserve"> -   </v>
          </cell>
          <cell r="H67">
            <v>174601493374</v>
          </cell>
        </row>
        <row r="68">
          <cell r="A68">
            <v>63510001</v>
          </cell>
          <cell r="B68" t="str">
            <v>Loan interest</v>
          </cell>
          <cell r="C68">
            <v>1803</v>
          </cell>
          <cell r="D68" t="str">
            <v>VND</v>
          </cell>
          <cell r="E68" t="str">
            <v xml:space="preserve"> -   </v>
          </cell>
          <cell r="F68">
            <v>20562120483</v>
          </cell>
          <cell r="G68" t="str">
            <v xml:space="preserve"> -   </v>
          </cell>
          <cell r="H68">
            <v>20562120483</v>
          </cell>
        </row>
        <row r="69">
          <cell r="A69">
            <v>63570001</v>
          </cell>
          <cell r="B69" t="str">
            <v>Other financial cost</v>
          </cell>
          <cell r="C69">
            <v>1803</v>
          </cell>
          <cell r="D69" t="str">
            <v>VND</v>
          </cell>
          <cell r="E69" t="str">
            <v xml:space="preserve"> -   </v>
          </cell>
          <cell r="F69">
            <v>156334774</v>
          </cell>
          <cell r="G69" t="str">
            <v xml:space="preserve"> -   </v>
          </cell>
          <cell r="H69">
            <v>156334774</v>
          </cell>
        </row>
        <row r="70">
          <cell r="A70">
            <v>64260003</v>
          </cell>
          <cell r="B70" t="str">
            <v>Audit - Kiem toan</v>
          </cell>
          <cell r="C70">
            <v>1803</v>
          </cell>
          <cell r="D70" t="str">
            <v>VND</v>
          </cell>
          <cell r="E70" t="str">
            <v xml:space="preserve"> -   </v>
          </cell>
          <cell r="F70">
            <v>40000000</v>
          </cell>
          <cell r="G70" t="str">
            <v xml:space="preserve"> -   </v>
          </cell>
          <cell r="H70">
            <v>40000000</v>
          </cell>
        </row>
        <row r="71">
          <cell r="A71">
            <v>64260004</v>
          </cell>
          <cell r="B71" t="str">
            <v>Tax, Legal fee - Thu</v>
          </cell>
          <cell r="C71">
            <v>1803</v>
          </cell>
          <cell r="D71" t="str">
            <v>VND</v>
          </cell>
          <cell r="E71" t="str">
            <v xml:space="preserve"> -   </v>
          </cell>
          <cell r="F71">
            <v>131118400</v>
          </cell>
          <cell r="G71" t="str">
            <v xml:space="preserve"> -   </v>
          </cell>
          <cell r="H71">
            <v>131118400</v>
          </cell>
        </row>
        <row r="72">
          <cell r="A72">
            <v>64260007</v>
          </cell>
          <cell r="B72" t="str">
            <v>Bank charge  - Phi n</v>
          </cell>
          <cell r="C72">
            <v>1803</v>
          </cell>
          <cell r="D72" t="str">
            <v>VND</v>
          </cell>
          <cell r="E72" t="str">
            <v xml:space="preserve"> -   </v>
          </cell>
          <cell r="F72">
            <v>320734</v>
          </cell>
          <cell r="G72" t="str">
            <v xml:space="preserve"> -   </v>
          </cell>
          <cell r="H72">
            <v>320734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6"/>
  <sheetViews>
    <sheetView tabSelected="1" workbookViewId="0">
      <selection activeCell="B9" sqref="B9"/>
    </sheetView>
  </sheetViews>
  <sheetFormatPr defaultRowHeight="15" x14ac:dyDescent="0.25"/>
  <cols>
    <col min="2" max="2" width="71.42578125" bestFit="1" customWidth="1"/>
    <col min="3" max="3" width="20.5703125" style="468" bestFit="1" customWidth="1"/>
  </cols>
  <sheetData>
    <row r="1" spans="1:3" x14ac:dyDescent="0.25">
      <c r="A1" s="471" t="s">
        <v>1119</v>
      </c>
      <c r="B1" s="470" t="s">
        <v>1118</v>
      </c>
      <c r="C1" s="469" t="s">
        <v>1108</v>
      </c>
    </row>
    <row r="2" spans="1:3" x14ac:dyDescent="0.25">
      <c r="A2" s="467">
        <v>1</v>
      </c>
      <c r="B2" t="s">
        <v>1102</v>
      </c>
    </row>
    <row r="3" spans="1:3" x14ac:dyDescent="0.25">
      <c r="A3" s="467">
        <f>A2+1</f>
        <v>2</v>
      </c>
      <c r="B3" t="s">
        <v>1104</v>
      </c>
    </row>
    <row r="4" spans="1:3" x14ac:dyDescent="0.25">
      <c r="A4" s="467">
        <f t="shared" ref="A4:A16" si="0">A3+1</f>
        <v>3</v>
      </c>
      <c r="B4" t="s">
        <v>1105</v>
      </c>
    </row>
    <row r="5" spans="1:3" x14ac:dyDescent="0.25">
      <c r="A5" s="467"/>
    </row>
    <row r="6" spans="1:3" x14ac:dyDescent="0.25">
      <c r="A6" s="467"/>
      <c r="B6" s="472" t="s">
        <v>1106</v>
      </c>
    </row>
    <row r="7" spans="1:3" x14ac:dyDescent="0.25">
      <c r="A7" s="467">
        <f>A4+1</f>
        <v>4</v>
      </c>
      <c r="B7" t="s">
        <v>1107</v>
      </c>
    </row>
    <row r="8" spans="1:3" x14ac:dyDescent="0.25">
      <c r="A8" s="467">
        <f t="shared" si="0"/>
        <v>5</v>
      </c>
      <c r="B8" t="s">
        <v>1120</v>
      </c>
      <c r="C8" s="468">
        <f ca="1">BC_TinhHinh_TaiChinh!F48</f>
        <v>1841300000000</v>
      </c>
    </row>
    <row r="9" spans="1:3" x14ac:dyDescent="0.25">
      <c r="A9" s="467">
        <f t="shared" si="0"/>
        <v>6</v>
      </c>
      <c r="B9" t="s">
        <v>1109</v>
      </c>
      <c r="C9" s="468">
        <f ca="1">BC_TinhHinh_TaiChinh!F68</f>
        <v>120000000000</v>
      </c>
    </row>
    <row r="10" spans="1:3" x14ac:dyDescent="0.25">
      <c r="A10" s="467">
        <f t="shared" si="0"/>
        <v>7</v>
      </c>
      <c r="B10" t="s">
        <v>1117</v>
      </c>
      <c r="C10" s="468">
        <f ca="1">BC_TinhHinh_TaiChinh!F92</f>
        <v>62000000000</v>
      </c>
    </row>
    <row r="11" spans="1:3" x14ac:dyDescent="0.25">
      <c r="A11" s="467">
        <f t="shared" si="0"/>
        <v>8</v>
      </c>
      <c r="B11" t="s">
        <v>1110</v>
      </c>
      <c r="C11" s="468">
        <f>Thuyet_Minh!E177</f>
        <v>100000000000</v>
      </c>
    </row>
    <row r="12" spans="1:3" x14ac:dyDescent="0.25">
      <c r="A12" s="467">
        <f t="shared" si="0"/>
        <v>9</v>
      </c>
      <c r="B12" t="s">
        <v>1111</v>
      </c>
      <c r="C12" s="468">
        <v>8000000000</v>
      </c>
    </row>
    <row r="13" spans="1:3" x14ac:dyDescent="0.25">
      <c r="A13" s="467">
        <f t="shared" si="0"/>
        <v>10</v>
      </c>
      <c r="B13" t="s">
        <v>1112</v>
      </c>
      <c r="C13" s="468">
        <f ca="1">Thuyet_Minh!C137</f>
        <v>7700000000</v>
      </c>
    </row>
    <row r="14" spans="1:3" x14ac:dyDescent="0.25">
      <c r="A14" s="467">
        <f t="shared" si="0"/>
        <v>11</v>
      </c>
      <c r="B14" t="s">
        <v>1114</v>
      </c>
      <c r="C14" s="468">
        <f>Thuyet_Minh!E153</f>
        <v>15000000000</v>
      </c>
    </row>
    <row r="15" spans="1:3" x14ac:dyDescent="0.25">
      <c r="A15" s="467">
        <f t="shared" si="0"/>
        <v>12</v>
      </c>
      <c r="B15" t="s">
        <v>1115</v>
      </c>
      <c r="C15" s="468">
        <f ca="1">BC_KQKD!F16</f>
        <v>1200000000</v>
      </c>
    </row>
    <row r="16" spans="1:3" x14ac:dyDescent="0.25">
      <c r="A16" s="467">
        <f t="shared" si="0"/>
        <v>13</v>
      </c>
      <c r="B16" t="s">
        <v>1116</v>
      </c>
      <c r="C16" s="468">
        <f>Thuyet_Minh!C138</f>
        <v>300000000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topLeftCell="B1" workbookViewId="0">
      <pane xSplit="10" ySplit="10" topLeftCell="L11" activePane="bottomRight" state="frozen"/>
      <selection activeCell="B1" sqref="B1"/>
      <selection pane="topRight" activeCell="L1" sqref="L1"/>
      <selection pane="bottomLeft" activeCell="B11" sqref="B11"/>
      <selection pane="bottomRight" activeCell="G11" sqref="G11"/>
    </sheetView>
  </sheetViews>
  <sheetFormatPr defaultColWidth="13.7109375" defaultRowHeight="15" customHeight="1" x14ac:dyDescent="0.2"/>
  <cols>
    <col min="1" max="1" width="2.7109375" style="363" hidden="1" customWidth="1"/>
    <col min="2" max="2" width="10.5703125" style="363" customWidth="1"/>
    <col min="3" max="3" width="19.7109375" style="363" customWidth="1"/>
    <col min="4" max="4" width="11.7109375" style="363" customWidth="1"/>
    <col min="5" max="6" width="20.42578125" style="363" customWidth="1"/>
    <col min="7" max="9" width="18.7109375" style="363" customWidth="1"/>
    <col min="10" max="10" width="19.7109375" style="363" customWidth="1"/>
    <col min="11" max="11" width="15.7109375" style="363" customWidth="1"/>
    <col min="12" max="26" width="8.28515625" style="363" customWidth="1"/>
    <col min="27" max="16384" width="13.7109375" style="363"/>
  </cols>
  <sheetData>
    <row r="1" spans="1:26" ht="12.95" customHeight="1" x14ac:dyDescent="0.2">
      <c r="A1" s="357"/>
      <c r="B1" s="358" t="s">
        <v>871</v>
      </c>
      <c r="C1" s="357"/>
      <c r="D1" s="359"/>
      <c r="E1" s="360"/>
      <c r="F1" s="360"/>
      <c r="G1" s="358"/>
      <c r="H1" s="361"/>
      <c r="I1" s="361"/>
      <c r="J1" s="362"/>
      <c r="K1" s="357"/>
      <c r="L1" s="361"/>
      <c r="M1" s="357"/>
      <c r="N1" s="357"/>
      <c r="O1" s="357"/>
      <c r="P1" s="357"/>
      <c r="Q1" s="357"/>
      <c r="R1" s="357"/>
      <c r="S1" s="357"/>
      <c r="T1" s="357"/>
      <c r="U1" s="357"/>
      <c r="V1" s="357"/>
      <c r="W1" s="357"/>
      <c r="X1" s="357"/>
      <c r="Y1" s="357"/>
      <c r="Z1" s="357"/>
    </row>
    <row r="2" spans="1:26" ht="12.95" customHeight="1" x14ac:dyDescent="0.2">
      <c r="A2" s="357"/>
      <c r="B2" s="364"/>
      <c r="C2" s="357"/>
      <c r="D2" s="359"/>
      <c r="E2" s="360"/>
      <c r="F2" s="360"/>
      <c r="G2" s="358"/>
      <c r="H2" s="361"/>
      <c r="I2" s="361"/>
      <c r="J2" s="362"/>
      <c r="K2" s="357"/>
      <c r="L2" s="361"/>
      <c r="M2" s="357"/>
      <c r="N2" s="357"/>
      <c r="O2" s="357"/>
      <c r="P2" s="357"/>
      <c r="Q2" s="357"/>
      <c r="R2" s="357"/>
      <c r="S2" s="357"/>
      <c r="T2" s="357"/>
      <c r="U2" s="357"/>
      <c r="V2" s="357"/>
      <c r="W2" s="357"/>
      <c r="X2" s="357"/>
      <c r="Y2" s="357"/>
      <c r="Z2" s="357"/>
    </row>
    <row r="3" spans="1:26" ht="12.95" customHeight="1" x14ac:dyDescent="0.2">
      <c r="A3" s="357"/>
      <c r="B3" s="357"/>
      <c r="C3" s="357"/>
      <c r="D3" s="359"/>
      <c r="E3" s="360"/>
      <c r="F3" s="360"/>
      <c r="G3" s="358"/>
      <c r="H3" s="361"/>
      <c r="I3" s="361"/>
      <c r="J3" s="361"/>
      <c r="K3" s="357"/>
      <c r="L3" s="361"/>
      <c r="M3" s="357"/>
      <c r="N3" s="357"/>
      <c r="O3" s="357"/>
      <c r="P3" s="357"/>
      <c r="Q3" s="357"/>
      <c r="R3" s="357"/>
      <c r="S3" s="357"/>
      <c r="T3" s="357"/>
      <c r="U3" s="357"/>
      <c r="V3" s="357"/>
      <c r="W3" s="357"/>
      <c r="X3" s="357"/>
      <c r="Y3" s="357"/>
      <c r="Z3" s="357"/>
    </row>
    <row r="4" spans="1:26" ht="26.25" customHeight="1" x14ac:dyDescent="0.2">
      <c r="A4" s="357"/>
      <c r="B4" s="446" t="s">
        <v>872</v>
      </c>
      <c r="C4" s="446"/>
      <c r="D4" s="446"/>
      <c r="E4" s="446"/>
      <c r="F4" s="446"/>
      <c r="G4" s="446"/>
      <c r="H4" s="446"/>
      <c r="I4" s="446"/>
      <c r="J4" s="446"/>
      <c r="K4" s="357"/>
      <c r="L4" s="361"/>
      <c r="M4" s="357"/>
      <c r="N4" s="357"/>
      <c r="O4" s="357"/>
      <c r="P4" s="357"/>
      <c r="Q4" s="357"/>
      <c r="R4" s="357"/>
      <c r="S4" s="357"/>
      <c r="T4" s="357"/>
      <c r="U4" s="357"/>
      <c r="V4" s="357"/>
      <c r="W4" s="357"/>
      <c r="X4" s="357"/>
      <c r="Y4" s="357"/>
      <c r="Z4" s="357"/>
    </row>
    <row r="5" spans="1:26" ht="19.5" customHeight="1" x14ac:dyDescent="0.2">
      <c r="A5" s="357"/>
      <c r="B5" s="447" t="s">
        <v>1093</v>
      </c>
      <c r="C5" s="447"/>
      <c r="D5" s="447"/>
      <c r="E5" s="447"/>
      <c r="F5" s="447"/>
      <c r="G5" s="447"/>
      <c r="H5" s="447"/>
      <c r="I5" s="447"/>
      <c r="J5" s="447"/>
      <c r="K5" s="357"/>
      <c r="L5" s="365"/>
      <c r="M5" s="357"/>
      <c r="N5" s="357"/>
      <c r="O5" s="357"/>
      <c r="P5" s="357"/>
      <c r="Q5" s="357"/>
      <c r="R5" s="357"/>
      <c r="S5" s="357"/>
      <c r="T5" s="357"/>
      <c r="U5" s="357"/>
      <c r="V5" s="357"/>
      <c r="W5" s="357"/>
      <c r="X5" s="357"/>
      <c r="Y5" s="357"/>
      <c r="Z5" s="357"/>
    </row>
    <row r="6" spans="1:26" ht="19.5" customHeight="1" x14ac:dyDescent="0.2">
      <c r="A6" s="357"/>
      <c r="B6" s="366"/>
      <c r="C6" s="366"/>
      <c r="D6" s="367"/>
      <c r="E6" s="366"/>
      <c r="F6" s="366"/>
      <c r="G6" s="366"/>
      <c r="H6" s="366"/>
      <c r="I6" s="366"/>
      <c r="J6" s="366"/>
      <c r="K6" s="357"/>
      <c r="L6" s="365"/>
      <c r="M6" s="357"/>
      <c r="N6" s="357"/>
      <c r="O6" s="357"/>
      <c r="P6" s="357"/>
      <c r="Q6" s="357"/>
      <c r="R6" s="357"/>
      <c r="S6" s="357"/>
      <c r="T6" s="357"/>
      <c r="U6" s="357"/>
      <c r="V6" s="357"/>
      <c r="W6" s="357"/>
      <c r="X6" s="357"/>
      <c r="Y6" s="357"/>
      <c r="Z6" s="357"/>
    </row>
    <row r="7" spans="1:26" ht="14.1" customHeight="1" x14ac:dyDescent="0.25">
      <c r="A7" s="368"/>
      <c r="B7" s="368"/>
      <c r="C7" s="368"/>
      <c r="D7" s="369"/>
      <c r="E7" s="368"/>
      <c r="F7" s="368"/>
      <c r="G7" s="370"/>
      <c r="H7" s="370"/>
      <c r="I7" s="370"/>
      <c r="J7" s="370" t="s">
        <v>873</v>
      </c>
      <c r="K7" s="368"/>
      <c r="L7" s="368"/>
      <c r="M7" s="368"/>
      <c r="N7" s="368"/>
      <c r="O7" s="368"/>
      <c r="P7" s="368"/>
      <c r="Q7" s="368"/>
      <c r="R7" s="368"/>
      <c r="S7" s="368"/>
      <c r="T7" s="368"/>
      <c r="U7" s="368"/>
      <c r="V7" s="368"/>
      <c r="W7" s="368"/>
      <c r="X7" s="368"/>
      <c r="Y7" s="368"/>
      <c r="Z7" s="368"/>
    </row>
    <row r="8" spans="1:26" ht="5.25" customHeight="1" x14ac:dyDescent="0.25">
      <c r="A8" s="368"/>
      <c r="B8" s="368"/>
      <c r="C8" s="368"/>
      <c r="D8" s="369"/>
      <c r="E8" s="368"/>
      <c r="F8" s="368"/>
      <c r="G8" s="370"/>
      <c r="H8" s="370"/>
      <c r="I8" s="370"/>
      <c r="J8" s="370"/>
      <c r="K8" s="368"/>
      <c r="L8" s="368"/>
      <c r="M8" s="368"/>
      <c r="N8" s="368"/>
      <c r="O8" s="368"/>
      <c r="P8" s="368"/>
      <c r="Q8" s="368"/>
      <c r="R8" s="368"/>
      <c r="S8" s="368"/>
      <c r="T8" s="368"/>
      <c r="U8" s="368"/>
      <c r="V8" s="368"/>
      <c r="W8" s="368"/>
      <c r="X8" s="368"/>
      <c r="Y8" s="368"/>
      <c r="Z8" s="368"/>
    </row>
    <row r="9" spans="1:26" ht="27.95" customHeight="1" x14ac:dyDescent="0.2">
      <c r="A9" s="371"/>
      <c r="B9" s="448" t="s">
        <v>874</v>
      </c>
      <c r="C9" s="448" t="s">
        <v>875</v>
      </c>
      <c r="D9" s="450" t="s">
        <v>869</v>
      </c>
      <c r="E9" s="452" t="s">
        <v>876</v>
      </c>
      <c r="F9" s="453"/>
      <c r="G9" s="452" t="s">
        <v>877</v>
      </c>
      <c r="H9" s="453"/>
      <c r="I9" s="452" t="s">
        <v>878</v>
      </c>
      <c r="J9" s="453"/>
      <c r="K9" s="371" t="s">
        <v>980</v>
      </c>
      <c r="L9" s="371"/>
      <c r="M9" s="371"/>
      <c r="N9" s="371"/>
      <c r="O9" s="371"/>
      <c r="P9" s="371"/>
      <c r="Q9" s="371"/>
      <c r="R9" s="371"/>
      <c r="S9" s="371"/>
      <c r="T9" s="371"/>
      <c r="U9" s="371"/>
      <c r="V9" s="371"/>
      <c r="W9" s="371"/>
      <c r="X9" s="371"/>
      <c r="Y9" s="371"/>
      <c r="Z9" s="371"/>
    </row>
    <row r="10" spans="1:26" ht="18" customHeight="1" x14ac:dyDescent="0.2">
      <c r="A10" s="371"/>
      <c r="B10" s="449"/>
      <c r="C10" s="449"/>
      <c r="D10" s="451"/>
      <c r="E10" s="372" t="s">
        <v>879</v>
      </c>
      <c r="F10" s="372" t="s">
        <v>880</v>
      </c>
      <c r="G10" s="372" t="s">
        <v>879</v>
      </c>
      <c r="H10" s="372" t="s">
        <v>880</v>
      </c>
      <c r="I10" s="372" t="s">
        <v>879</v>
      </c>
      <c r="J10" s="372" t="s">
        <v>880</v>
      </c>
      <c r="K10" s="371"/>
      <c r="L10" s="371"/>
      <c r="M10" s="371"/>
      <c r="N10" s="371"/>
      <c r="O10" s="371"/>
      <c r="P10" s="371"/>
      <c r="Q10" s="371"/>
      <c r="R10" s="371"/>
      <c r="S10" s="371"/>
      <c r="T10" s="371"/>
      <c r="U10" s="371"/>
      <c r="V10" s="371"/>
      <c r="W10" s="371"/>
      <c r="X10" s="371"/>
      <c r="Y10" s="371"/>
      <c r="Z10" s="371"/>
    </row>
    <row r="11" spans="1:26" ht="14.1" customHeight="1" x14ac:dyDescent="0.25">
      <c r="A11" s="371"/>
      <c r="B11" s="373" t="s">
        <v>881</v>
      </c>
      <c r="C11" s="374" t="s">
        <v>882</v>
      </c>
      <c r="D11" s="375" t="s">
        <v>883</v>
      </c>
      <c r="E11" s="374">
        <v>12928744</v>
      </c>
      <c r="F11" s="374">
        <v>0</v>
      </c>
      <c r="G11" s="374">
        <v>0</v>
      </c>
      <c r="H11" s="374">
        <v>9000000</v>
      </c>
      <c r="I11" s="374">
        <v>3928744</v>
      </c>
      <c r="J11" s="374">
        <v>0</v>
      </c>
      <c r="K11" s="382">
        <f>I11-J11</f>
        <v>3928744</v>
      </c>
    </row>
    <row r="12" spans="1:26" ht="14.1" customHeight="1" x14ac:dyDescent="0.25">
      <c r="A12" s="371"/>
      <c r="B12" s="373" t="s">
        <v>871</v>
      </c>
      <c r="C12" s="374" t="s">
        <v>884</v>
      </c>
      <c r="D12" s="375" t="s">
        <v>871</v>
      </c>
      <c r="E12" s="374">
        <v>12928744</v>
      </c>
      <c r="F12" s="374">
        <v>0</v>
      </c>
      <c r="G12" s="374">
        <v>0</v>
      </c>
      <c r="H12" s="374">
        <v>9000000</v>
      </c>
      <c r="I12" s="374">
        <v>3928744</v>
      </c>
      <c r="J12" s="374">
        <v>0</v>
      </c>
      <c r="K12" s="382">
        <f t="shared" ref="K12:K75" si="0">I12-J12</f>
        <v>3928744</v>
      </c>
    </row>
    <row r="13" spans="1:26" ht="14.1" customHeight="1" x14ac:dyDescent="0.25">
      <c r="A13" s="371"/>
      <c r="B13" s="373" t="s">
        <v>885</v>
      </c>
      <c r="C13" s="374" t="s">
        <v>871</v>
      </c>
      <c r="D13" s="375" t="s">
        <v>883</v>
      </c>
      <c r="E13" s="374">
        <v>0</v>
      </c>
      <c r="F13" s="374">
        <v>0</v>
      </c>
      <c r="G13" s="374">
        <v>1687300000000</v>
      </c>
      <c r="H13" s="374">
        <v>1687300000000</v>
      </c>
      <c r="I13" s="374">
        <v>0</v>
      </c>
      <c r="J13" s="374">
        <v>0</v>
      </c>
      <c r="K13" s="382">
        <f t="shared" si="0"/>
        <v>0</v>
      </c>
    </row>
    <row r="14" spans="1:26" ht="14.1" customHeight="1" x14ac:dyDescent="0.25">
      <c r="A14" s="371"/>
      <c r="B14" s="373" t="s">
        <v>886</v>
      </c>
      <c r="C14" s="374" t="s">
        <v>871</v>
      </c>
      <c r="D14" s="375" t="s">
        <v>883</v>
      </c>
      <c r="E14" s="374">
        <v>4543500</v>
      </c>
      <c r="F14" s="374">
        <v>0</v>
      </c>
      <c r="G14" s="374">
        <v>0</v>
      </c>
      <c r="H14" s="374">
        <v>558250</v>
      </c>
      <c r="I14" s="374">
        <v>3985250</v>
      </c>
      <c r="J14" s="374">
        <v>0</v>
      </c>
      <c r="K14" s="382">
        <f t="shared" si="0"/>
        <v>3985250</v>
      </c>
    </row>
    <row r="15" spans="1:26" ht="14.1" customHeight="1" x14ac:dyDescent="0.25">
      <c r="A15" s="371"/>
      <c r="B15" s="373" t="s">
        <v>887</v>
      </c>
      <c r="C15" s="374" t="s">
        <v>871</v>
      </c>
      <c r="D15" s="375" t="s">
        <v>883</v>
      </c>
      <c r="E15" s="374">
        <v>33757307</v>
      </c>
      <c r="F15" s="374">
        <v>0</v>
      </c>
      <c r="G15" s="374">
        <v>192300177238</v>
      </c>
      <c r="H15" s="374">
        <v>191811138286</v>
      </c>
      <c r="I15" s="374">
        <v>522796259</v>
      </c>
      <c r="J15" s="374">
        <v>0</v>
      </c>
      <c r="K15" s="382">
        <f t="shared" si="0"/>
        <v>522796259</v>
      </c>
    </row>
    <row r="16" spans="1:26" ht="14.1" customHeight="1" x14ac:dyDescent="0.25">
      <c r="A16" s="371"/>
      <c r="B16" s="373" t="s">
        <v>871</v>
      </c>
      <c r="C16" s="374" t="s">
        <v>888</v>
      </c>
      <c r="D16" s="375" t="s">
        <v>871</v>
      </c>
      <c r="E16" s="374">
        <v>38300807</v>
      </c>
      <c r="F16" s="374">
        <v>0</v>
      </c>
      <c r="G16" s="374">
        <v>1879600177238</v>
      </c>
      <c r="H16" s="374">
        <v>1879111696536</v>
      </c>
      <c r="I16" s="374">
        <v>526781509</v>
      </c>
      <c r="J16" s="374">
        <v>0</v>
      </c>
      <c r="K16" s="382">
        <f t="shared" si="0"/>
        <v>526781509</v>
      </c>
    </row>
    <row r="17" spans="1:11" ht="14.1" customHeight="1" x14ac:dyDescent="0.25">
      <c r="A17" s="371"/>
      <c r="B17" s="373" t="s">
        <v>889</v>
      </c>
      <c r="C17" s="374" t="s">
        <v>890</v>
      </c>
      <c r="D17" s="375" t="s">
        <v>883</v>
      </c>
      <c r="E17" s="374">
        <v>9300000000</v>
      </c>
      <c r="F17" s="374">
        <v>0</v>
      </c>
      <c r="G17" s="374">
        <v>281433333335</v>
      </c>
      <c r="H17" s="374">
        <v>290733333335</v>
      </c>
      <c r="I17" s="374">
        <v>0</v>
      </c>
      <c r="J17" s="374">
        <v>0</v>
      </c>
      <c r="K17" s="382">
        <f t="shared" si="0"/>
        <v>0</v>
      </c>
    </row>
    <row r="18" spans="1:11" ht="14.1" customHeight="1" x14ac:dyDescent="0.25">
      <c r="A18" s="371"/>
      <c r="B18" s="373" t="s">
        <v>871</v>
      </c>
      <c r="C18" s="374" t="s">
        <v>891</v>
      </c>
      <c r="D18" s="375" t="s">
        <v>871</v>
      </c>
      <c r="E18" s="374">
        <v>9300000000</v>
      </c>
      <c r="F18" s="374">
        <v>0</v>
      </c>
      <c r="G18" s="374">
        <v>281433333335</v>
      </c>
      <c r="H18" s="374">
        <v>290733333335</v>
      </c>
      <c r="I18" s="374">
        <v>0</v>
      </c>
      <c r="J18" s="374">
        <v>0</v>
      </c>
      <c r="K18" s="382">
        <f t="shared" si="0"/>
        <v>0</v>
      </c>
    </row>
    <row r="19" spans="1:11" ht="14.1" customHeight="1" x14ac:dyDescent="0.25">
      <c r="A19" s="371"/>
      <c r="B19" s="373" t="s">
        <v>892</v>
      </c>
      <c r="C19" s="374" t="s">
        <v>893</v>
      </c>
      <c r="D19" s="375" t="s">
        <v>883</v>
      </c>
      <c r="E19" s="374">
        <v>0</v>
      </c>
      <c r="F19" s="374">
        <v>0</v>
      </c>
      <c r="G19" s="374">
        <v>389124394</v>
      </c>
      <c r="H19" s="374">
        <v>389124394</v>
      </c>
      <c r="I19" s="374">
        <v>0</v>
      </c>
      <c r="J19" s="374">
        <v>0</v>
      </c>
      <c r="K19" s="382">
        <f t="shared" si="0"/>
        <v>0</v>
      </c>
    </row>
    <row r="20" spans="1:11" ht="14.1" customHeight="1" x14ac:dyDescent="0.25">
      <c r="A20" s="371"/>
      <c r="B20" s="373" t="s">
        <v>871</v>
      </c>
      <c r="C20" s="374" t="s">
        <v>894</v>
      </c>
      <c r="D20" s="375" t="s">
        <v>871</v>
      </c>
      <c r="E20" s="374">
        <v>0</v>
      </c>
      <c r="F20" s="374">
        <v>0</v>
      </c>
      <c r="G20" s="374">
        <v>389124394</v>
      </c>
      <c r="H20" s="374">
        <v>389124394</v>
      </c>
      <c r="I20" s="374">
        <v>0</v>
      </c>
      <c r="J20" s="374">
        <v>0</v>
      </c>
      <c r="K20" s="382">
        <f t="shared" si="0"/>
        <v>0</v>
      </c>
    </row>
    <row r="21" spans="1:11" ht="14.1" customHeight="1" x14ac:dyDescent="0.25">
      <c r="A21" s="371"/>
      <c r="B21" s="373" t="s">
        <v>895</v>
      </c>
      <c r="C21" s="374" t="s">
        <v>871</v>
      </c>
      <c r="D21" s="375" t="s">
        <v>883</v>
      </c>
      <c r="E21" s="374">
        <v>408059113686</v>
      </c>
      <c r="F21" s="374">
        <v>0</v>
      </c>
      <c r="G21" s="374">
        <v>0</v>
      </c>
      <c r="H21" s="374">
        <v>0</v>
      </c>
      <c r="I21" s="374">
        <v>408059113686</v>
      </c>
      <c r="J21" s="374">
        <v>0</v>
      </c>
      <c r="K21" s="382">
        <f t="shared" si="0"/>
        <v>408059113686</v>
      </c>
    </row>
    <row r="22" spans="1:11" ht="14.1" customHeight="1" x14ac:dyDescent="0.25">
      <c r="A22" s="371"/>
      <c r="B22" s="373" t="s">
        <v>871</v>
      </c>
      <c r="C22" s="374" t="s">
        <v>896</v>
      </c>
      <c r="D22" s="375" t="s">
        <v>871</v>
      </c>
      <c r="E22" s="374">
        <v>408059113686</v>
      </c>
      <c r="F22" s="374">
        <v>0</v>
      </c>
      <c r="G22" s="374">
        <v>0</v>
      </c>
      <c r="H22" s="374">
        <v>0</v>
      </c>
      <c r="I22" s="374">
        <v>408059113686</v>
      </c>
      <c r="J22" s="374">
        <v>0</v>
      </c>
      <c r="K22" s="382">
        <f t="shared" si="0"/>
        <v>408059113686</v>
      </c>
    </row>
    <row r="23" spans="1:11" ht="14.1" customHeight="1" x14ac:dyDescent="0.25">
      <c r="A23" s="371"/>
      <c r="B23" s="373" t="s">
        <v>897</v>
      </c>
      <c r="C23" s="374" t="s">
        <v>898</v>
      </c>
      <c r="D23" s="375" t="s">
        <v>883</v>
      </c>
      <c r="E23" s="374">
        <v>0</v>
      </c>
      <c r="F23" s="374">
        <v>0</v>
      </c>
      <c r="G23" s="374">
        <v>1841300000000</v>
      </c>
      <c r="H23" s="374">
        <v>0</v>
      </c>
      <c r="I23" s="374">
        <v>1841300000000</v>
      </c>
      <c r="J23" s="374">
        <v>0</v>
      </c>
      <c r="K23" s="382">
        <f t="shared" si="0"/>
        <v>1841300000000</v>
      </c>
    </row>
    <row r="24" spans="1:11" ht="14.1" customHeight="1" x14ac:dyDescent="0.25">
      <c r="A24" s="371"/>
      <c r="B24" s="373" t="s">
        <v>871</v>
      </c>
      <c r="C24" s="374" t="s">
        <v>899</v>
      </c>
      <c r="D24" s="375" t="s">
        <v>871</v>
      </c>
      <c r="E24" s="374">
        <v>0</v>
      </c>
      <c r="F24" s="374">
        <v>0</v>
      </c>
      <c r="G24" s="374">
        <v>1841300000000</v>
      </c>
      <c r="H24" s="374">
        <v>0</v>
      </c>
      <c r="I24" s="374">
        <v>1841300000000</v>
      </c>
      <c r="J24" s="374">
        <v>0</v>
      </c>
      <c r="K24" s="382">
        <f t="shared" si="0"/>
        <v>1841300000000</v>
      </c>
    </row>
    <row r="25" spans="1:11" ht="14.1" customHeight="1" x14ac:dyDescent="0.25">
      <c r="A25" s="371"/>
      <c r="B25" s="373" t="s">
        <v>900</v>
      </c>
      <c r="C25" s="374" t="s">
        <v>901</v>
      </c>
      <c r="D25" s="375" t="s">
        <v>883</v>
      </c>
      <c r="E25" s="374">
        <v>400000000</v>
      </c>
      <c r="F25" s="374">
        <v>0</v>
      </c>
      <c r="G25" s="374">
        <v>0</v>
      </c>
      <c r="H25" s="374">
        <v>0</v>
      </c>
      <c r="I25" s="374">
        <v>400000000</v>
      </c>
      <c r="J25" s="374">
        <v>0</v>
      </c>
      <c r="K25" s="382">
        <f t="shared" si="0"/>
        <v>400000000</v>
      </c>
    </row>
    <row r="26" spans="1:11" ht="14.1" customHeight="1" x14ac:dyDescent="0.25">
      <c r="A26" s="371"/>
      <c r="B26" s="373" t="s">
        <v>871</v>
      </c>
      <c r="C26" s="374" t="s">
        <v>902</v>
      </c>
      <c r="D26" s="375" t="s">
        <v>871</v>
      </c>
      <c r="E26" s="374">
        <v>400000000</v>
      </c>
      <c r="F26" s="374">
        <v>0</v>
      </c>
      <c r="G26" s="374">
        <v>0</v>
      </c>
      <c r="H26" s="374">
        <v>0</v>
      </c>
      <c r="I26" s="374">
        <v>400000000</v>
      </c>
      <c r="J26" s="374">
        <v>0</v>
      </c>
      <c r="K26" s="382">
        <f t="shared" si="0"/>
        <v>400000000</v>
      </c>
    </row>
    <row r="27" spans="1:11" ht="14.1" customHeight="1" x14ac:dyDescent="0.25">
      <c r="A27" s="371"/>
      <c r="B27" s="373" t="s">
        <v>903</v>
      </c>
      <c r="C27" s="374" t="s">
        <v>904</v>
      </c>
      <c r="D27" s="375" t="s">
        <v>883</v>
      </c>
      <c r="E27" s="374">
        <v>501355399936</v>
      </c>
      <c r="F27" s="374">
        <v>0</v>
      </c>
      <c r="G27" s="374">
        <v>3230204793</v>
      </c>
      <c r="H27" s="374">
        <v>0</v>
      </c>
      <c r="I27" s="374">
        <v>504585604729</v>
      </c>
      <c r="J27" s="374">
        <v>0</v>
      </c>
      <c r="K27" s="382">
        <f t="shared" si="0"/>
        <v>504585604729</v>
      </c>
    </row>
    <row r="28" spans="1:11" ht="14.1" customHeight="1" x14ac:dyDescent="0.25">
      <c r="A28" s="371"/>
      <c r="B28" s="373" t="s">
        <v>905</v>
      </c>
      <c r="C28" s="374" t="s">
        <v>906</v>
      </c>
      <c r="D28" s="375" t="s">
        <v>883</v>
      </c>
      <c r="E28" s="374">
        <v>205464255</v>
      </c>
      <c r="F28" s="374">
        <v>0</v>
      </c>
      <c r="G28" s="374">
        <v>0</v>
      </c>
      <c r="H28" s="374">
        <v>0</v>
      </c>
      <c r="I28" s="374">
        <v>205464255</v>
      </c>
      <c r="J28" s="374">
        <v>0</v>
      </c>
      <c r="K28" s="382">
        <f t="shared" si="0"/>
        <v>205464255</v>
      </c>
    </row>
    <row r="29" spans="1:11" ht="14.1" customHeight="1" x14ac:dyDescent="0.25">
      <c r="A29" s="371"/>
      <c r="B29" s="373" t="s">
        <v>871</v>
      </c>
      <c r="C29" s="374" t="s">
        <v>907</v>
      </c>
      <c r="D29" s="375" t="s">
        <v>871</v>
      </c>
      <c r="E29" s="374">
        <v>501560864191</v>
      </c>
      <c r="F29" s="374">
        <v>0</v>
      </c>
      <c r="G29" s="374">
        <v>3230204793</v>
      </c>
      <c r="H29" s="374">
        <v>0</v>
      </c>
      <c r="I29" s="374">
        <v>504791068984</v>
      </c>
      <c r="J29" s="374">
        <v>0</v>
      </c>
      <c r="K29" s="382">
        <f t="shared" si="0"/>
        <v>504791068984</v>
      </c>
    </row>
    <row r="30" spans="1:11" ht="14.1" customHeight="1" x14ac:dyDescent="0.25">
      <c r="A30" s="371"/>
      <c r="B30" s="373" t="s">
        <v>908</v>
      </c>
      <c r="C30" s="374" t="s">
        <v>909</v>
      </c>
      <c r="D30" s="375" t="s">
        <v>883</v>
      </c>
      <c r="E30" s="374">
        <v>8358798645</v>
      </c>
      <c r="F30" s="374">
        <v>0</v>
      </c>
      <c r="G30" s="374">
        <v>0</v>
      </c>
      <c r="H30" s="374">
        <v>0</v>
      </c>
      <c r="I30" s="374">
        <v>8358798645</v>
      </c>
      <c r="J30" s="374">
        <v>0</v>
      </c>
      <c r="K30" s="382">
        <f t="shared" si="0"/>
        <v>8358798645</v>
      </c>
    </row>
    <row r="31" spans="1:11" ht="14.1" customHeight="1" x14ac:dyDescent="0.25">
      <c r="A31" s="371"/>
      <c r="B31" s="373" t="s">
        <v>871</v>
      </c>
      <c r="C31" s="374" t="s">
        <v>910</v>
      </c>
      <c r="D31" s="375" t="s">
        <v>871</v>
      </c>
      <c r="E31" s="374">
        <v>8358798645</v>
      </c>
      <c r="F31" s="374">
        <v>0</v>
      </c>
      <c r="G31" s="374">
        <v>0</v>
      </c>
      <c r="H31" s="374">
        <v>0</v>
      </c>
      <c r="I31" s="374">
        <v>8358798645</v>
      </c>
      <c r="J31" s="374">
        <v>0</v>
      </c>
      <c r="K31" s="382">
        <f t="shared" si="0"/>
        <v>8358798645</v>
      </c>
    </row>
    <row r="32" spans="1:11" ht="14.1" customHeight="1" x14ac:dyDescent="0.25">
      <c r="A32" s="371"/>
      <c r="B32" s="373" t="s">
        <v>911</v>
      </c>
      <c r="C32" s="374" t="s">
        <v>732</v>
      </c>
      <c r="D32" s="375" t="s">
        <v>883</v>
      </c>
      <c r="E32" s="374">
        <v>0</v>
      </c>
      <c r="F32" s="374">
        <v>411326345351</v>
      </c>
      <c r="G32" s="374">
        <v>0</v>
      </c>
      <c r="H32" s="374">
        <v>50014247763</v>
      </c>
      <c r="I32" s="374">
        <v>0</v>
      </c>
      <c r="J32" s="374">
        <v>461340593114</v>
      </c>
      <c r="K32" s="382">
        <f t="shared" si="0"/>
        <v>-461340593114</v>
      </c>
    </row>
    <row r="33" spans="1:11" ht="14.1" customHeight="1" x14ac:dyDescent="0.25">
      <c r="A33" s="371"/>
      <c r="B33" s="373" t="s">
        <v>912</v>
      </c>
      <c r="C33" s="374" t="s">
        <v>733</v>
      </c>
      <c r="D33" s="375" t="s">
        <v>883</v>
      </c>
      <c r="E33" s="374">
        <v>0</v>
      </c>
      <c r="F33" s="374">
        <v>205464255</v>
      </c>
      <c r="G33" s="374">
        <v>0</v>
      </c>
      <c r="H33" s="374">
        <v>0</v>
      </c>
      <c r="I33" s="374">
        <v>0</v>
      </c>
      <c r="J33" s="374">
        <v>205464255</v>
      </c>
      <c r="K33" s="382">
        <f t="shared" si="0"/>
        <v>-205464255</v>
      </c>
    </row>
    <row r="34" spans="1:11" ht="14.1" customHeight="1" x14ac:dyDescent="0.25">
      <c r="A34" s="371"/>
      <c r="B34" s="373" t="s">
        <v>913</v>
      </c>
      <c r="C34" s="374" t="s">
        <v>914</v>
      </c>
      <c r="D34" s="375" t="s">
        <v>883</v>
      </c>
      <c r="E34" s="374">
        <v>0</v>
      </c>
      <c r="F34" s="374">
        <v>8358798645</v>
      </c>
      <c r="G34" s="374">
        <v>0</v>
      </c>
      <c r="H34" s="374">
        <v>0</v>
      </c>
      <c r="I34" s="374">
        <v>0</v>
      </c>
      <c r="J34" s="374">
        <v>8358798645</v>
      </c>
      <c r="K34" s="382">
        <f t="shared" si="0"/>
        <v>-8358798645</v>
      </c>
    </row>
    <row r="35" spans="1:11" ht="14.1" customHeight="1" x14ac:dyDescent="0.25">
      <c r="A35" s="371"/>
      <c r="B35" s="373" t="s">
        <v>915</v>
      </c>
      <c r="C35" s="374" t="s">
        <v>871</v>
      </c>
      <c r="D35" s="375" t="s">
        <v>883</v>
      </c>
      <c r="E35" s="374">
        <v>0</v>
      </c>
      <c r="F35" s="374">
        <v>1017136944340</v>
      </c>
      <c r="G35" s="374">
        <v>0</v>
      </c>
      <c r="H35" s="374">
        <v>124012014497</v>
      </c>
      <c r="I35" s="374">
        <v>0</v>
      </c>
      <c r="J35" s="374">
        <v>1141148958837</v>
      </c>
      <c r="K35" s="382">
        <f t="shared" si="0"/>
        <v>-1141148958837</v>
      </c>
    </row>
    <row r="36" spans="1:11" ht="14.1" customHeight="1" x14ac:dyDescent="0.25">
      <c r="A36" s="371"/>
      <c r="B36" s="373" t="s">
        <v>916</v>
      </c>
      <c r="C36" s="374" t="s">
        <v>871</v>
      </c>
      <c r="D36" s="375" t="s">
        <v>883</v>
      </c>
      <c r="E36" s="374">
        <v>0</v>
      </c>
      <c r="F36" s="374">
        <v>56855357</v>
      </c>
      <c r="G36" s="374">
        <v>0</v>
      </c>
      <c r="H36" s="374">
        <v>0</v>
      </c>
      <c r="I36" s="374">
        <v>0</v>
      </c>
      <c r="J36" s="374">
        <v>56855357</v>
      </c>
      <c r="K36" s="382">
        <f t="shared" si="0"/>
        <v>-56855357</v>
      </c>
    </row>
    <row r="37" spans="1:11" ht="14.1" customHeight="1" x14ac:dyDescent="0.25">
      <c r="A37" s="371"/>
      <c r="B37" s="373" t="s">
        <v>871</v>
      </c>
      <c r="C37" s="374" t="s">
        <v>917</v>
      </c>
      <c r="D37" s="375" t="s">
        <v>871</v>
      </c>
      <c r="E37" s="374">
        <v>0</v>
      </c>
      <c r="F37" s="374">
        <v>1437084407948</v>
      </c>
      <c r="G37" s="374">
        <v>0</v>
      </c>
      <c r="H37" s="374">
        <v>174026262260</v>
      </c>
      <c r="I37" s="374">
        <v>0</v>
      </c>
      <c r="J37" s="374">
        <v>1611110670208</v>
      </c>
      <c r="K37" s="382">
        <f t="shared" si="0"/>
        <v>-1611110670208</v>
      </c>
    </row>
    <row r="38" spans="1:11" ht="14.1" customHeight="1" x14ac:dyDescent="0.25">
      <c r="A38" s="371"/>
      <c r="B38" s="373" t="s">
        <v>918</v>
      </c>
      <c r="C38" s="374" t="s">
        <v>871</v>
      </c>
      <c r="D38" s="375" t="s">
        <v>883</v>
      </c>
      <c r="E38" s="374">
        <v>5698601800765</v>
      </c>
      <c r="F38" s="374">
        <v>0</v>
      </c>
      <c r="G38" s="374">
        <v>533283130</v>
      </c>
      <c r="H38" s="374">
        <v>0</v>
      </c>
      <c r="I38" s="374">
        <v>5699135083895</v>
      </c>
      <c r="J38" s="374">
        <v>0</v>
      </c>
      <c r="K38" s="382">
        <f t="shared" si="0"/>
        <v>5699135083895</v>
      </c>
    </row>
    <row r="39" spans="1:11" ht="14.1" customHeight="1" x14ac:dyDescent="0.25">
      <c r="A39" s="371"/>
      <c r="B39" s="373" t="s">
        <v>871</v>
      </c>
      <c r="C39" s="374" t="s">
        <v>919</v>
      </c>
      <c r="D39" s="375" t="s">
        <v>871</v>
      </c>
      <c r="E39" s="374">
        <v>5698601800765</v>
      </c>
      <c r="F39" s="374">
        <v>0</v>
      </c>
      <c r="G39" s="374">
        <v>533283130</v>
      </c>
      <c r="H39" s="374">
        <v>0</v>
      </c>
      <c r="I39" s="374">
        <v>5699135083895</v>
      </c>
      <c r="J39" s="374">
        <v>0</v>
      </c>
      <c r="K39" s="382">
        <f t="shared" si="0"/>
        <v>5699135083895</v>
      </c>
    </row>
    <row r="40" spans="1:11" ht="14.1" customHeight="1" x14ac:dyDescent="0.25">
      <c r="A40" s="371"/>
      <c r="B40" s="373" t="s">
        <v>920</v>
      </c>
      <c r="C40" s="374" t="s">
        <v>921</v>
      </c>
      <c r="D40" s="375" t="s">
        <v>883</v>
      </c>
      <c r="E40" s="374">
        <v>0</v>
      </c>
      <c r="F40" s="374">
        <v>0</v>
      </c>
      <c r="G40" s="374">
        <v>138600000</v>
      </c>
      <c r="H40" s="374">
        <v>138600000</v>
      </c>
      <c r="I40" s="374">
        <v>0</v>
      </c>
      <c r="J40" s="374">
        <v>0</v>
      </c>
      <c r="K40" s="382">
        <f t="shared" si="0"/>
        <v>0</v>
      </c>
    </row>
    <row r="41" spans="1:11" ht="14.1" customHeight="1" x14ac:dyDescent="0.25">
      <c r="A41" s="371"/>
      <c r="B41" s="373" t="s">
        <v>871</v>
      </c>
      <c r="C41" s="374" t="s">
        <v>922</v>
      </c>
      <c r="D41" s="375" t="s">
        <v>871</v>
      </c>
      <c r="E41" s="374">
        <v>0</v>
      </c>
      <c r="F41" s="374">
        <v>0</v>
      </c>
      <c r="G41" s="374">
        <v>138600000</v>
      </c>
      <c r="H41" s="374">
        <v>138600000</v>
      </c>
      <c r="I41" s="374">
        <v>0</v>
      </c>
      <c r="J41" s="374">
        <v>0</v>
      </c>
      <c r="K41" s="382">
        <f t="shared" si="0"/>
        <v>0</v>
      </c>
    </row>
    <row r="42" spans="1:11" ht="14.1" customHeight="1" x14ac:dyDescent="0.25">
      <c r="A42" s="371"/>
      <c r="B42" s="373" t="s">
        <v>923</v>
      </c>
      <c r="C42" s="374" t="s">
        <v>924</v>
      </c>
      <c r="D42" s="375" t="s">
        <v>883</v>
      </c>
      <c r="E42" s="374">
        <v>0</v>
      </c>
      <c r="F42" s="374">
        <v>9290859479</v>
      </c>
      <c r="G42" s="374">
        <v>31337889791</v>
      </c>
      <c r="H42" s="374">
        <v>21666666668</v>
      </c>
      <c r="I42" s="374">
        <v>380363644</v>
      </c>
      <c r="J42" s="374">
        <v>0</v>
      </c>
      <c r="K42" s="382">
        <f t="shared" si="0"/>
        <v>380363644</v>
      </c>
    </row>
    <row r="43" spans="1:11" ht="14.1" customHeight="1" x14ac:dyDescent="0.25">
      <c r="A43" s="371"/>
      <c r="B43" s="373" t="s">
        <v>871</v>
      </c>
      <c r="C43" s="374" t="s">
        <v>925</v>
      </c>
      <c r="D43" s="375" t="s">
        <v>871</v>
      </c>
      <c r="E43" s="374">
        <v>0</v>
      </c>
      <c r="F43" s="374">
        <v>9290859479</v>
      </c>
      <c r="G43" s="374">
        <v>31337889791</v>
      </c>
      <c r="H43" s="374">
        <v>21666666668</v>
      </c>
      <c r="I43" s="374">
        <v>380363644</v>
      </c>
      <c r="J43" s="374">
        <v>0</v>
      </c>
      <c r="K43" s="382">
        <f t="shared" si="0"/>
        <v>380363644</v>
      </c>
    </row>
    <row r="44" spans="1:11" ht="14.1" customHeight="1" x14ac:dyDescent="0.25">
      <c r="A44" s="371"/>
      <c r="B44" s="373" t="s">
        <v>926</v>
      </c>
      <c r="C44" s="374" t="s">
        <v>927</v>
      </c>
      <c r="D44" s="375" t="s">
        <v>883</v>
      </c>
      <c r="E44" s="374">
        <v>0</v>
      </c>
      <c r="F44" s="374">
        <v>0</v>
      </c>
      <c r="G44" s="374">
        <v>6445507809</v>
      </c>
      <c r="H44" s="374">
        <v>6445507809</v>
      </c>
      <c r="I44" s="374">
        <v>0</v>
      </c>
      <c r="J44" s="374">
        <v>0</v>
      </c>
      <c r="K44" s="382">
        <f t="shared" si="0"/>
        <v>0</v>
      </c>
    </row>
    <row r="45" spans="1:11" ht="14.1" customHeight="1" x14ac:dyDescent="0.25">
      <c r="A45" s="371"/>
      <c r="B45" s="373" t="s">
        <v>871</v>
      </c>
      <c r="C45" s="374" t="s">
        <v>928</v>
      </c>
      <c r="D45" s="375" t="s">
        <v>871</v>
      </c>
      <c r="E45" s="374">
        <v>0</v>
      </c>
      <c r="F45" s="374">
        <v>0</v>
      </c>
      <c r="G45" s="374">
        <v>6445507809</v>
      </c>
      <c r="H45" s="374">
        <v>6445507809</v>
      </c>
      <c r="I45" s="374">
        <v>0</v>
      </c>
      <c r="J45" s="374">
        <v>0</v>
      </c>
      <c r="K45" s="382">
        <f t="shared" si="0"/>
        <v>0</v>
      </c>
    </row>
    <row r="46" spans="1:11" ht="14.1" customHeight="1" x14ac:dyDescent="0.25">
      <c r="A46" s="371"/>
      <c r="B46" s="373" t="s">
        <v>929</v>
      </c>
      <c r="C46" s="374" t="s">
        <v>930</v>
      </c>
      <c r="D46" s="375" t="s">
        <v>883</v>
      </c>
      <c r="E46" s="374">
        <v>0</v>
      </c>
      <c r="F46" s="374">
        <v>1314471822</v>
      </c>
      <c r="G46" s="374">
        <v>1314471822</v>
      </c>
      <c r="H46" s="374">
        <v>0</v>
      </c>
      <c r="I46" s="374">
        <v>0</v>
      </c>
      <c r="J46" s="374">
        <v>0</v>
      </c>
      <c r="K46" s="382">
        <f t="shared" si="0"/>
        <v>0</v>
      </c>
    </row>
    <row r="47" spans="1:11" ht="14.1" customHeight="1" x14ac:dyDescent="0.25">
      <c r="A47" s="371"/>
      <c r="B47" s="373" t="s">
        <v>871</v>
      </c>
      <c r="C47" s="374" t="s">
        <v>931</v>
      </c>
      <c r="D47" s="375" t="s">
        <v>871</v>
      </c>
      <c r="E47" s="374">
        <v>0</v>
      </c>
      <c r="F47" s="374">
        <v>1314471822</v>
      </c>
      <c r="G47" s="374">
        <v>1314471822</v>
      </c>
      <c r="H47" s="374">
        <v>0</v>
      </c>
      <c r="I47" s="374">
        <v>0</v>
      </c>
      <c r="J47" s="374">
        <v>0</v>
      </c>
      <c r="K47" s="382">
        <f t="shared" si="0"/>
        <v>0</v>
      </c>
    </row>
    <row r="48" spans="1:11" ht="14.1" customHeight="1" x14ac:dyDescent="0.25">
      <c r="A48" s="371"/>
      <c r="B48" s="373" t="s">
        <v>932</v>
      </c>
      <c r="C48" s="374" t="s">
        <v>871</v>
      </c>
      <c r="D48" s="375" t="s">
        <v>883</v>
      </c>
      <c r="E48" s="374">
        <v>0</v>
      </c>
      <c r="F48" s="374">
        <v>1855963866650</v>
      </c>
      <c r="G48" s="374">
        <v>0</v>
      </c>
      <c r="H48" s="374">
        <v>0</v>
      </c>
      <c r="I48" s="374">
        <v>0</v>
      </c>
      <c r="J48" s="374">
        <v>1855963866650</v>
      </c>
      <c r="K48" s="382">
        <f t="shared" si="0"/>
        <v>-1855963866650</v>
      </c>
    </row>
    <row r="49" spans="1:11" ht="14.1" customHeight="1" x14ac:dyDescent="0.25">
      <c r="A49" s="371"/>
      <c r="B49" s="373" t="s">
        <v>871</v>
      </c>
      <c r="C49" s="374" t="s">
        <v>933</v>
      </c>
      <c r="D49" s="375" t="s">
        <v>871</v>
      </c>
      <c r="E49" s="374">
        <v>0</v>
      </c>
      <c r="F49" s="374">
        <v>1855963866650</v>
      </c>
      <c r="G49" s="374">
        <v>0</v>
      </c>
      <c r="H49" s="374">
        <v>0</v>
      </c>
      <c r="I49" s="374">
        <v>0</v>
      </c>
      <c r="J49" s="374">
        <v>1855963866650</v>
      </c>
      <c r="K49" s="382">
        <f t="shared" si="0"/>
        <v>-1855963866650</v>
      </c>
    </row>
    <row r="50" spans="1:11" ht="14.1" customHeight="1" x14ac:dyDescent="0.25">
      <c r="A50" s="371"/>
      <c r="B50" s="373" t="s">
        <v>934</v>
      </c>
      <c r="C50" s="374" t="s">
        <v>935</v>
      </c>
      <c r="D50" s="375" t="s">
        <v>883</v>
      </c>
      <c r="E50" s="374">
        <v>0</v>
      </c>
      <c r="F50" s="374">
        <v>0</v>
      </c>
      <c r="G50" s="374">
        <v>216666666668</v>
      </c>
      <c r="H50" s="374">
        <v>216666666668</v>
      </c>
      <c r="I50" s="374">
        <v>0</v>
      </c>
      <c r="J50" s="374">
        <v>0</v>
      </c>
      <c r="K50" s="382">
        <f t="shared" si="0"/>
        <v>0</v>
      </c>
    </row>
    <row r="51" spans="1:11" ht="14.1" customHeight="1" x14ac:dyDescent="0.25">
      <c r="A51" s="371"/>
      <c r="B51" s="373" t="s">
        <v>936</v>
      </c>
      <c r="C51" s="374" t="s">
        <v>937</v>
      </c>
      <c r="D51" s="375" t="s">
        <v>883</v>
      </c>
      <c r="E51" s="374">
        <v>0</v>
      </c>
      <c r="F51" s="374">
        <v>369295825</v>
      </c>
      <c r="G51" s="374">
        <v>369295826</v>
      </c>
      <c r="H51" s="374">
        <v>4559915596</v>
      </c>
      <c r="I51" s="374">
        <v>0</v>
      </c>
      <c r="J51" s="374">
        <v>4559915595</v>
      </c>
      <c r="K51" s="382">
        <f t="shared" si="0"/>
        <v>-4559915595</v>
      </c>
    </row>
    <row r="52" spans="1:11" ht="14.1" customHeight="1" x14ac:dyDescent="0.25">
      <c r="A52" s="371"/>
      <c r="B52" s="373" t="s">
        <v>871</v>
      </c>
      <c r="C52" s="374" t="s">
        <v>938</v>
      </c>
      <c r="D52" s="375" t="s">
        <v>871</v>
      </c>
      <c r="E52" s="374">
        <v>0</v>
      </c>
      <c r="F52" s="374">
        <v>369295825</v>
      </c>
      <c r="G52" s="374">
        <v>217035962494</v>
      </c>
      <c r="H52" s="374">
        <v>221226582264</v>
      </c>
      <c r="I52" s="374">
        <v>0</v>
      </c>
      <c r="J52" s="374">
        <v>4559915595</v>
      </c>
      <c r="K52" s="382">
        <f t="shared" si="0"/>
        <v>-4559915595</v>
      </c>
    </row>
    <row r="53" spans="1:11" ht="14.1" customHeight="1" x14ac:dyDescent="0.25">
      <c r="A53" s="371"/>
      <c r="B53" s="373" t="s">
        <v>939</v>
      </c>
      <c r="C53" s="374" t="s">
        <v>940</v>
      </c>
      <c r="D53" s="375" t="s">
        <v>883</v>
      </c>
      <c r="E53" s="374">
        <v>0</v>
      </c>
      <c r="F53" s="374">
        <v>2463861108883</v>
      </c>
      <c r="G53" s="374">
        <v>259666666668</v>
      </c>
      <c r="H53" s="374">
        <v>1848300000000</v>
      </c>
      <c r="I53" s="374">
        <v>0</v>
      </c>
      <c r="J53" s="374">
        <v>4052494442215</v>
      </c>
      <c r="K53" s="382">
        <f t="shared" si="0"/>
        <v>-4052494442215</v>
      </c>
    </row>
    <row r="54" spans="1:11" ht="14.1" customHeight="1" x14ac:dyDescent="0.25">
      <c r="A54" s="371"/>
      <c r="B54" s="373" t="s">
        <v>871</v>
      </c>
      <c r="C54" s="374" t="s">
        <v>941</v>
      </c>
      <c r="D54" s="375" t="s">
        <v>871</v>
      </c>
      <c r="E54" s="374">
        <v>0</v>
      </c>
      <c r="F54" s="374">
        <v>2463861108883</v>
      </c>
      <c r="G54" s="374">
        <v>259666666668</v>
      </c>
      <c r="H54" s="374">
        <v>1848300000000</v>
      </c>
      <c r="I54" s="374">
        <v>0</v>
      </c>
      <c r="J54" s="374">
        <v>4052494442215</v>
      </c>
      <c r="K54" s="382">
        <f t="shared" si="0"/>
        <v>-4052494442215</v>
      </c>
    </row>
    <row r="55" spans="1:11" ht="14.1" customHeight="1" x14ac:dyDescent="0.25">
      <c r="A55" s="371"/>
      <c r="B55" s="373" t="s">
        <v>942</v>
      </c>
      <c r="C55" s="374" t="s">
        <v>943</v>
      </c>
      <c r="D55" s="375" t="s">
        <v>883</v>
      </c>
      <c r="E55" s="374">
        <v>0</v>
      </c>
      <c r="F55" s="374">
        <v>2198548459505</v>
      </c>
      <c r="G55" s="374">
        <v>0</v>
      </c>
      <c r="H55" s="374">
        <v>0</v>
      </c>
      <c r="I55" s="374">
        <v>0</v>
      </c>
      <c r="J55" s="374">
        <v>2198548459505</v>
      </c>
      <c r="K55" s="382">
        <f t="shared" si="0"/>
        <v>-2198548459505</v>
      </c>
    </row>
    <row r="56" spans="1:11" ht="14.1" customHeight="1" x14ac:dyDescent="0.25">
      <c r="A56" s="371"/>
      <c r="B56" s="373" t="s">
        <v>944</v>
      </c>
      <c r="C56" s="374" t="s">
        <v>945</v>
      </c>
      <c r="D56" s="375" t="s">
        <v>883</v>
      </c>
      <c r="E56" s="374">
        <v>0</v>
      </c>
      <c r="F56" s="374">
        <v>96429546468</v>
      </c>
      <c r="G56" s="374">
        <v>0</v>
      </c>
      <c r="H56" s="374">
        <v>0</v>
      </c>
      <c r="I56" s="374">
        <v>0</v>
      </c>
      <c r="J56" s="374">
        <v>96429546468</v>
      </c>
      <c r="K56" s="382">
        <f t="shared" si="0"/>
        <v>-96429546468</v>
      </c>
    </row>
    <row r="57" spans="1:11" ht="14.1" customHeight="1" x14ac:dyDescent="0.25">
      <c r="A57" s="371"/>
      <c r="B57" s="373" t="s">
        <v>871</v>
      </c>
      <c r="C57" s="374" t="s">
        <v>946</v>
      </c>
      <c r="D57" s="375" t="s">
        <v>871</v>
      </c>
      <c r="E57" s="374">
        <v>0</v>
      </c>
      <c r="F57" s="374">
        <v>2294978005973</v>
      </c>
      <c r="G57" s="374">
        <v>0</v>
      </c>
      <c r="H57" s="374">
        <v>0</v>
      </c>
      <c r="I57" s="374">
        <v>0</v>
      </c>
      <c r="J57" s="374">
        <v>2294978005973</v>
      </c>
      <c r="K57" s="382">
        <f t="shared" si="0"/>
        <v>-2294978005973</v>
      </c>
    </row>
    <row r="58" spans="1:11" ht="14.1" customHeight="1" x14ac:dyDescent="0.25">
      <c r="A58" s="371"/>
      <c r="B58" s="373" t="s">
        <v>947</v>
      </c>
      <c r="C58" s="374" t="s">
        <v>948</v>
      </c>
      <c r="D58" s="375" t="s">
        <v>883</v>
      </c>
      <c r="E58" s="374">
        <v>1436530209742</v>
      </c>
      <c r="F58" s="374">
        <v>0</v>
      </c>
      <c r="G58" s="374">
        <v>0</v>
      </c>
      <c r="H58" s="374">
        <v>0</v>
      </c>
      <c r="I58" s="374">
        <v>1436530209742</v>
      </c>
      <c r="J58" s="374">
        <v>0</v>
      </c>
      <c r="K58" s="382">
        <f t="shared" si="0"/>
        <v>1436530209742</v>
      </c>
    </row>
    <row r="59" spans="1:11" ht="14.1" customHeight="1" x14ac:dyDescent="0.25">
      <c r="A59" s="371"/>
      <c r="B59" s="373" t="s">
        <v>871</v>
      </c>
      <c r="C59" s="374" t="s">
        <v>949</v>
      </c>
      <c r="D59" s="375" t="s">
        <v>871</v>
      </c>
      <c r="E59" s="374">
        <v>1436530209742</v>
      </c>
      <c r="F59" s="374">
        <v>0</v>
      </c>
      <c r="G59" s="374">
        <v>0</v>
      </c>
      <c r="H59" s="374">
        <v>0</v>
      </c>
      <c r="I59" s="374">
        <v>1436530209742</v>
      </c>
      <c r="J59" s="374">
        <v>0</v>
      </c>
      <c r="K59" s="382">
        <f t="shared" si="0"/>
        <v>1436530209742</v>
      </c>
    </row>
    <row r="60" spans="1:11" ht="14.1" customHeight="1" x14ac:dyDescent="0.25">
      <c r="A60" s="371"/>
      <c r="B60" s="373" t="s">
        <v>950</v>
      </c>
      <c r="C60" s="374" t="s">
        <v>951</v>
      </c>
      <c r="D60" s="375" t="s">
        <v>883</v>
      </c>
      <c r="E60" s="374">
        <v>0</v>
      </c>
      <c r="F60" s="374">
        <v>0</v>
      </c>
      <c r="G60" s="374">
        <v>0</v>
      </c>
      <c r="H60" s="374">
        <v>151333333334</v>
      </c>
      <c r="I60" s="374">
        <v>0</v>
      </c>
      <c r="J60" s="374">
        <v>151333333334</v>
      </c>
      <c r="K60" s="382">
        <f t="shared" si="0"/>
        <v>-151333333334</v>
      </c>
    </row>
    <row r="61" spans="1:11" ht="14.1" customHeight="1" x14ac:dyDescent="0.25">
      <c r="A61" s="371"/>
      <c r="B61" s="373" t="s">
        <v>952</v>
      </c>
      <c r="C61" s="374" t="s">
        <v>871</v>
      </c>
      <c r="D61" s="375" t="s">
        <v>883</v>
      </c>
      <c r="E61" s="374">
        <v>0</v>
      </c>
      <c r="F61" s="374">
        <v>0</v>
      </c>
      <c r="G61" s="374">
        <v>0</v>
      </c>
      <c r="H61" s="374">
        <v>108333333334</v>
      </c>
      <c r="I61" s="374">
        <v>0</v>
      </c>
      <c r="J61" s="374">
        <v>108333333334</v>
      </c>
      <c r="K61" s="382">
        <f t="shared" si="0"/>
        <v>-108333333334</v>
      </c>
    </row>
    <row r="62" spans="1:11" ht="14.1" customHeight="1" x14ac:dyDescent="0.25">
      <c r="A62" s="371"/>
      <c r="B62" s="373" t="s">
        <v>871</v>
      </c>
      <c r="C62" s="374" t="s">
        <v>953</v>
      </c>
      <c r="D62" s="375" t="s">
        <v>871</v>
      </c>
      <c r="E62" s="374">
        <v>0</v>
      </c>
      <c r="F62" s="374">
        <v>0</v>
      </c>
      <c r="G62" s="374">
        <v>0</v>
      </c>
      <c r="H62" s="374">
        <v>259666666668</v>
      </c>
      <c r="I62" s="374">
        <v>0</v>
      </c>
      <c r="J62" s="374">
        <v>259666666668</v>
      </c>
      <c r="K62" s="382">
        <f t="shared" si="0"/>
        <v>-259666666668</v>
      </c>
    </row>
    <row r="63" spans="1:11" ht="14.1" customHeight="1" x14ac:dyDescent="0.25">
      <c r="A63" s="371"/>
      <c r="B63" s="373" t="s">
        <v>954</v>
      </c>
      <c r="C63" s="374" t="s">
        <v>955</v>
      </c>
      <c r="D63" s="375" t="s">
        <v>883</v>
      </c>
      <c r="E63" s="374">
        <v>0</v>
      </c>
      <c r="F63" s="374">
        <v>0</v>
      </c>
      <c r="G63" s="374">
        <v>0</v>
      </c>
      <c r="H63" s="374">
        <v>131691</v>
      </c>
      <c r="I63" s="374">
        <v>0</v>
      </c>
      <c r="J63" s="374">
        <v>131691</v>
      </c>
      <c r="K63" s="382">
        <f t="shared" si="0"/>
        <v>-131691</v>
      </c>
    </row>
    <row r="64" spans="1:11" ht="14.1" customHeight="1" x14ac:dyDescent="0.25">
      <c r="A64" s="371"/>
      <c r="B64" s="373" t="s">
        <v>871</v>
      </c>
      <c r="C64" s="374" t="s">
        <v>956</v>
      </c>
      <c r="D64" s="375" t="s">
        <v>871</v>
      </c>
      <c r="E64" s="374">
        <v>0</v>
      </c>
      <c r="F64" s="374">
        <v>0</v>
      </c>
      <c r="G64" s="374">
        <v>0</v>
      </c>
      <c r="H64" s="374">
        <v>131691</v>
      </c>
      <c r="I64" s="374">
        <v>0</v>
      </c>
      <c r="J64" s="374">
        <v>131691</v>
      </c>
      <c r="K64" s="382">
        <f t="shared" si="0"/>
        <v>-131691</v>
      </c>
    </row>
    <row r="65" spans="1:26" ht="14.1" customHeight="1" x14ac:dyDescent="0.25">
      <c r="A65" s="371"/>
      <c r="B65" s="373" t="s">
        <v>957</v>
      </c>
      <c r="C65" s="374" t="s">
        <v>958</v>
      </c>
      <c r="D65" s="375" t="s">
        <v>883</v>
      </c>
      <c r="E65" s="374">
        <v>0</v>
      </c>
      <c r="F65" s="374">
        <v>0</v>
      </c>
      <c r="G65" s="374">
        <v>39000000</v>
      </c>
      <c r="H65" s="374">
        <v>0</v>
      </c>
      <c r="I65" s="374">
        <v>39000000</v>
      </c>
      <c r="J65" s="374">
        <v>0</v>
      </c>
      <c r="K65" s="382">
        <f t="shared" si="0"/>
        <v>39000000</v>
      </c>
    </row>
    <row r="66" spans="1:26" ht="14.1" customHeight="1" x14ac:dyDescent="0.25">
      <c r="A66" s="371"/>
      <c r="B66" s="373" t="s">
        <v>959</v>
      </c>
      <c r="C66" s="374" t="s">
        <v>960</v>
      </c>
      <c r="D66" s="375" t="s">
        <v>883</v>
      </c>
      <c r="E66" s="374">
        <v>0</v>
      </c>
      <c r="F66" s="374">
        <v>0</v>
      </c>
      <c r="G66" s="374">
        <v>498949</v>
      </c>
      <c r="H66" s="374">
        <v>0</v>
      </c>
      <c r="I66" s="374">
        <v>498949</v>
      </c>
      <c r="J66" s="374">
        <v>0</v>
      </c>
      <c r="K66" s="382">
        <f t="shared" si="0"/>
        <v>498949</v>
      </c>
    </row>
    <row r="67" spans="1:26" ht="14.1" customHeight="1" x14ac:dyDescent="0.25">
      <c r="A67" s="371"/>
      <c r="B67" s="373" t="s">
        <v>961</v>
      </c>
      <c r="C67" s="374" t="s">
        <v>871</v>
      </c>
      <c r="D67" s="375" t="s">
        <v>883</v>
      </c>
      <c r="E67" s="374">
        <v>0</v>
      </c>
      <c r="F67" s="374">
        <v>0</v>
      </c>
      <c r="G67" s="374">
        <v>124012014497</v>
      </c>
      <c r="H67" s="374">
        <v>0</v>
      </c>
      <c r="I67" s="374">
        <v>124012014497</v>
      </c>
      <c r="J67" s="374">
        <v>0</v>
      </c>
      <c r="K67" s="382">
        <f t="shared" si="0"/>
        <v>124012014497</v>
      </c>
    </row>
    <row r="68" spans="1:26" ht="14.1" customHeight="1" x14ac:dyDescent="0.25">
      <c r="A68" s="371"/>
      <c r="B68" s="373" t="s">
        <v>962</v>
      </c>
      <c r="C68" s="374" t="s">
        <v>963</v>
      </c>
      <c r="D68" s="375" t="s">
        <v>883</v>
      </c>
      <c r="E68" s="374">
        <v>0</v>
      </c>
      <c r="F68" s="374">
        <v>0</v>
      </c>
      <c r="G68" s="374">
        <v>50014247763</v>
      </c>
      <c r="H68" s="374">
        <v>0</v>
      </c>
      <c r="I68" s="374">
        <v>50014247763</v>
      </c>
      <c r="J68" s="374">
        <v>0</v>
      </c>
      <c r="K68" s="382">
        <f t="shared" si="0"/>
        <v>50014247763</v>
      </c>
    </row>
    <row r="69" spans="1:26" ht="14.1" customHeight="1" x14ac:dyDescent="0.25">
      <c r="A69" s="371"/>
      <c r="B69" s="373" t="s">
        <v>964</v>
      </c>
      <c r="C69" s="374" t="s">
        <v>965</v>
      </c>
      <c r="D69" s="375" t="s">
        <v>883</v>
      </c>
      <c r="E69" s="374">
        <v>0</v>
      </c>
      <c r="F69" s="374">
        <v>0</v>
      </c>
      <c r="G69" s="374">
        <v>0</v>
      </c>
      <c r="H69" s="374">
        <v>174065761209</v>
      </c>
      <c r="I69" s="374">
        <v>0</v>
      </c>
      <c r="J69" s="374">
        <v>174065761209</v>
      </c>
      <c r="K69" s="382">
        <f t="shared" si="0"/>
        <v>-174065761209</v>
      </c>
    </row>
    <row r="70" spans="1:26" ht="14.1" customHeight="1" x14ac:dyDescent="0.25">
      <c r="A70" s="371"/>
      <c r="B70" s="373" t="s">
        <v>871</v>
      </c>
      <c r="C70" s="374" t="s">
        <v>966</v>
      </c>
      <c r="D70" s="375" t="s">
        <v>871</v>
      </c>
      <c r="E70" s="374">
        <v>0</v>
      </c>
      <c r="F70" s="374">
        <v>0</v>
      </c>
      <c r="G70" s="374">
        <v>174065761209</v>
      </c>
      <c r="H70" s="374">
        <v>174065761209</v>
      </c>
      <c r="I70" s="374">
        <v>174065761209</v>
      </c>
      <c r="J70" s="374">
        <v>174065761209</v>
      </c>
      <c r="K70" s="382">
        <f t="shared" si="0"/>
        <v>0</v>
      </c>
    </row>
    <row r="71" spans="1:26" ht="14.1" customHeight="1" x14ac:dyDescent="0.25">
      <c r="A71" s="371"/>
      <c r="B71" s="373" t="s">
        <v>967</v>
      </c>
      <c r="C71" s="374" t="s">
        <v>968</v>
      </c>
      <c r="D71" s="375" t="s">
        <v>883</v>
      </c>
      <c r="E71" s="374">
        <v>0</v>
      </c>
      <c r="F71" s="374">
        <v>0</v>
      </c>
      <c r="G71" s="374">
        <v>174065761209</v>
      </c>
      <c r="H71" s="374">
        <v>0</v>
      </c>
      <c r="I71" s="374">
        <v>174065761209</v>
      </c>
      <c r="J71" s="374">
        <v>0</v>
      </c>
      <c r="K71" s="382">
        <f t="shared" si="0"/>
        <v>174065761209</v>
      </c>
    </row>
    <row r="72" spans="1:26" ht="14.1" customHeight="1" x14ac:dyDescent="0.25">
      <c r="A72" s="371"/>
      <c r="B72" s="373" t="s">
        <v>871</v>
      </c>
      <c r="C72" s="374" t="s">
        <v>969</v>
      </c>
      <c r="D72" s="375" t="s">
        <v>871</v>
      </c>
      <c r="E72" s="374">
        <v>0</v>
      </c>
      <c r="F72" s="374">
        <v>0</v>
      </c>
      <c r="G72" s="374">
        <v>174065761209</v>
      </c>
      <c r="H72" s="374">
        <v>0</v>
      </c>
      <c r="I72" s="374">
        <v>174065761209</v>
      </c>
      <c r="J72" s="374">
        <v>0</v>
      </c>
      <c r="K72" s="382">
        <f t="shared" si="0"/>
        <v>174065761209</v>
      </c>
    </row>
    <row r="73" spans="1:26" ht="14.1" customHeight="1" x14ac:dyDescent="0.25">
      <c r="A73" s="371"/>
      <c r="B73" s="373" t="s">
        <v>970</v>
      </c>
      <c r="C73" s="374" t="s">
        <v>871</v>
      </c>
      <c r="D73" s="375" t="s">
        <v>883</v>
      </c>
      <c r="E73" s="374">
        <v>0</v>
      </c>
      <c r="F73" s="374">
        <v>0</v>
      </c>
      <c r="G73" s="374">
        <v>87000000</v>
      </c>
      <c r="H73" s="374">
        <v>0</v>
      </c>
      <c r="I73" s="374">
        <v>87000000</v>
      </c>
      <c r="J73" s="374">
        <v>0</v>
      </c>
      <c r="K73" s="382">
        <f t="shared" si="0"/>
        <v>87000000</v>
      </c>
    </row>
    <row r="74" spans="1:26" ht="14.1" customHeight="1" x14ac:dyDescent="0.25">
      <c r="A74" s="371"/>
      <c r="B74" s="373" t="s">
        <v>971</v>
      </c>
      <c r="C74" s="374" t="s">
        <v>972</v>
      </c>
      <c r="D74" s="375" t="s">
        <v>883</v>
      </c>
      <c r="E74" s="374">
        <v>0</v>
      </c>
      <c r="F74" s="374">
        <v>0</v>
      </c>
      <c r="G74" s="374">
        <v>5134543488</v>
      </c>
      <c r="H74" s="374">
        <v>0</v>
      </c>
      <c r="I74" s="374">
        <v>5022354048</v>
      </c>
      <c r="J74" s="374">
        <v>0</v>
      </c>
      <c r="K74" s="382">
        <f t="shared" si="0"/>
        <v>5022354048</v>
      </c>
    </row>
    <row r="75" spans="1:26" ht="14.1" customHeight="1" x14ac:dyDescent="0.25">
      <c r="A75" s="371"/>
      <c r="B75" s="373" t="s">
        <v>973</v>
      </c>
      <c r="C75" s="374" t="s">
        <v>871</v>
      </c>
      <c r="D75" s="375" t="s">
        <v>883</v>
      </c>
      <c r="E75" s="374">
        <v>0</v>
      </c>
      <c r="F75" s="374">
        <v>0</v>
      </c>
      <c r="G75" s="374">
        <v>1045454</v>
      </c>
      <c r="H75" s="374">
        <v>0</v>
      </c>
      <c r="I75" s="374">
        <v>1045454</v>
      </c>
      <c r="J75" s="374">
        <v>0</v>
      </c>
      <c r="K75" s="382">
        <f t="shared" si="0"/>
        <v>1045454</v>
      </c>
    </row>
    <row r="76" spans="1:26" ht="14.1" customHeight="1" x14ac:dyDescent="0.25">
      <c r="A76" s="371"/>
      <c r="B76" s="373" t="s">
        <v>871</v>
      </c>
      <c r="C76" s="374" t="s">
        <v>974</v>
      </c>
      <c r="D76" s="375" t="s">
        <v>871</v>
      </c>
      <c r="E76" s="374">
        <v>0</v>
      </c>
      <c r="F76" s="374">
        <v>0</v>
      </c>
      <c r="G76" s="374">
        <v>5222588942</v>
      </c>
      <c r="H76" s="374">
        <v>0</v>
      </c>
      <c r="I76" s="374">
        <v>5110399502</v>
      </c>
      <c r="J76" s="374">
        <v>0</v>
      </c>
      <c r="K76" s="382">
        <f t="shared" ref="K76" si="1">I76-J76</f>
        <v>5110399502</v>
      </c>
    </row>
    <row r="77" spans="1:26" ht="19.5" customHeight="1" x14ac:dyDescent="0.25">
      <c r="A77" s="376"/>
      <c r="B77" s="377"/>
      <c r="C77" s="378" t="s">
        <v>975</v>
      </c>
      <c r="D77" s="379"/>
      <c r="E77" s="380">
        <v>8062862016580</v>
      </c>
      <c r="F77" s="380">
        <v>8062862016580</v>
      </c>
      <c r="G77" s="380">
        <v>4875779332834</v>
      </c>
      <c r="H77" s="380">
        <v>4875779332834</v>
      </c>
      <c r="I77" s="380">
        <v>10252839460209</v>
      </c>
      <c r="J77" s="380">
        <v>10252839460209</v>
      </c>
      <c r="K77" s="368"/>
      <c r="L77" s="368"/>
      <c r="M77" s="368"/>
      <c r="N77" s="368"/>
      <c r="O77" s="368"/>
      <c r="P77" s="368"/>
      <c r="Q77" s="368"/>
      <c r="R77" s="368"/>
      <c r="S77" s="368"/>
      <c r="T77" s="368"/>
      <c r="U77" s="368"/>
      <c r="V77" s="368"/>
      <c r="W77" s="368"/>
      <c r="X77" s="368"/>
      <c r="Y77" s="368"/>
      <c r="Z77" s="368"/>
    </row>
    <row r="78" spans="1:26" ht="14.1" customHeight="1" x14ac:dyDescent="0.25">
      <c r="A78" s="368"/>
      <c r="B78" s="368"/>
      <c r="C78" s="368"/>
      <c r="D78" s="369"/>
      <c r="E78" s="370"/>
      <c r="F78" s="370"/>
      <c r="G78" s="368"/>
      <c r="H78" s="368"/>
      <c r="I78" s="368"/>
      <c r="J78" s="368"/>
      <c r="K78" s="368"/>
      <c r="L78" s="368"/>
      <c r="M78" s="368"/>
      <c r="N78" s="368"/>
      <c r="O78" s="368"/>
      <c r="P78" s="368"/>
      <c r="Q78" s="368"/>
      <c r="R78" s="368"/>
      <c r="S78" s="368"/>
      <c r="T78" s="368"/>
      <c r="U78" s="368"/>
      <c r="V78" s="368"/>
      <c r="W78" s="368"/>
      <c r="X78" s="368"/>
      <c r="Y78" s="368"/>
      <c r="Z78" s="368"/>
    </row>
    <row r="79" spans="1:26" ht="14.1" customHeight="1" x14ac:dyDescent="0.25">
      <c r="A79" s="368"/>
      <c r="B79" s="368"/>
      <c r="C79" s="368"/>
      <c r="D79" s="369"/>
      <c r="E79" s="368"/>
      <c r="F79" s="368"/>
      <c r="G79" s="370"/>
      <c r="H79" s="444" t="s">
        <v>976</v>
      </c>
      <c r="I79" s="444"/>
      <c r="J79" s="444"/>
      <c r="K79" s="368"/>
      <c r="L79" s="368"/>
      <c r="M79" s="368"/>
      <c r="N79" s="368"/>
      <c r="O79" s="368"/>
      <c r="P79" s="368"/>
      <c r="Q79" s="368"/>
      <c r="R79" s="368"/>
      <c r="S79" s="368"/>
      <c r="T79" s="368"/>
      <c r="U79" s="368"/>
      <c r="V79" s="368"/>
      <c r="W79" s="368"/>
      <c r="X79" s="368"/>
      <c r="Y79" s="368"/>
      <c r="Z79" s="368"/>
    </row>
    <row r="80" spans="1:26" ht="14.1" customHeight="1" x14ac:dyDescent="0.25">
      <c r="A80" s="368"/>
      <c r="B80" s="381"/>
      <c r="C80" s="381" t="s">
        <v>977</v>
      </c>
      <c r="D80" s="369"/>
      <c r="E80" s="445" t="s">
        <v>978</v>
      </c>
      <c r="F80" s="445"/>
      <c r="G80" s="368"/>
      <c r="H80" s="445" t="s">
        <v>979</v>
      </c>
      <c r="I80" s="445"/>
      <c r="J80" s="445"/>
      <c r="K80" s="368"/>
      <c r="L80" s="368"/>
      <c r="M80" s="368"/>
      <c r="N80" s="368"/>
      <c r="O80" s="368"/>
      <c r="P80" s="368"/>
      <c r="Q80" s="368"/>
      <c r="R80" s="368"/>
      <c r="S80" s="368"/>
      <c r="T80" s="368"/>
      <c r="U80" s="368"/>
      <c r="V80" s="368"/>
      <c r="W80" s="368"/>
      <c r="X80" s="368"/>
      <c r="Y80" s="368"/>
      <c r="Z80" s="368"/>
    </row>
  </sheetData>
  <autoFilter ref="B10:E77"/>
  <mergeCells count="11">
    <mergeCell ref="H79:J79"/>
    <mergeCell ref="E80:F80"/>
    <mergeCell ref="H80:J80"/>
    <mergeCell ref="B4:J4"/>
    <mergeCell ref="B5:J5"/>
    <mergeCell ref="B9:B10"/>
    <mergeCell ref="C9:C10"/>
    <mergeCell ref="D9:D10"/>
    <mergeCell ref="E9:F9"/>
    <mergeCell ref="G9:H9"/>
    <mergeCell ref="I9:J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workbookViewId="0">
      <pane xSplit="5" ySplit="3" topLeftCell="K4" activePane="bottomRight" state="frozen"/>
      <selection activeCell="A9" sqref="A9"/>
      <selection pane="topRight" activeCell="A9" sqref="A9"/>
      <selection pane="bottomLeft" activeCell="A9" sqref="A9"/>
      <selection pane="bottomRight" activeCell="D10" sqref="D10"/>
    </sheetView>
  </sheetViews>
  <sheetFormatPr defaultColWidth="9.140625" defaultRowHeight="12" x14ac:dyDescent="0.2"/>
  <cols>
    <col min="1" max="1" width="7.140625" style="4" customWidth="1"/>
    <col min="2" max="2" width="10.28515625" style="38" customWidth="1"/>
    <col min="3" max="3" width="11.5703125" style="38" customWidth="1"/>
    <col min="4" max="4" width="36.7109375" style="38" customWidth="1"/>
    <col min="5" max="7" width="18.7109375" style="39" hidden="1" customWidth="1"/>
    <col min="8" max="10" width="17.28515625" style="4" hidden="1" customWidth="1"/>
    <col min="11" max="12" width="17.7109375" style="40" bestFit="1" customWidth="1"/>
    <col min="13" max="13" width="20.140625" style="40" customWidth="1"/>
    <col min="14" max="14" width="19.5703125" style="4" bestFit="1" customWidth="1"/>
    <col min="15" max="16384" width="9.140625" style="4"/>
  </cols>
  <sheetData>
    <row r="1" spans="1:16" x14ac:dyDescent="0.2">
      <c r="D1" s="58"/>
      <c r="E1" s="42"/>
      <c r="F1" s="42"/>
      <c r="G1" s="42"/>
    </row>
    <row r="2" spans="1:16" s="1" customFormat="1" x14ac:dyDescent="0.2">
      <c r="D2" s="3"/>
      <c r="E2" s="3"/>
      <c r="F2" s="3">
        <f>SUBTOTAL(9,F4:F57)</f>
        <v>947561141275</v>
      </c>
      <c r="G2" s="3">
        <f>SUBTOTAL(9,G4:G57)</f>
        <v>921054232429</v>
      </c>
      <c r="H2" s="3" t="e">
        <f>SUBTOTAL(9,H4:H57)</f>
        <v>#N/A</v>
      </c>
      <c r="I2" s="40">
        <f>SUBTOTAL(9,I4:I1048576)</f>
        <v>3790494471422</v>
      </c>
      <c r="J2" s="40">
        <v>-1038911804763</v>
      </c>
      <c r="K2" s="40">
        <f>SUBTOTAL(9,K4:K1048576)</f>
        <v>-259080144478</v>
      </c>
      <c r="L2" s="40">
        <f>SUBTOTAL(9,L4:L1048576)</f>
        <v>-112189440</v>
      </c>
      <c r="M2" s="40">
        <f>SUBTOTAL(9,M4:M1048576)</f>
        <v>0</v>
      </c>
    </row>
    <row r="3" spans="1:16" s="1" customFormat="1" ht="12.75" thickBot="1" x14ac:dyDescent="0.25">
      <c r="A3" s="2" t="s">
        <v>326</v>
      </c>
      <c r="B3" s="2" t="s">
        <v>692</v>
      </c>
      <c r="C3" s="2" t="s">
        <v>695</v>
      </c>
      <c r="D3" s="37" t="s">
        <v>696</v>
      </c>
      <c r="E3" s="36">
        <v>42185</v>
      </c>
      <c r="F3" s="36">
        <v>42369</v>
      </c>
      <c r="G3" s="36">
        <v>42551</v>
      </c>
      <c r="H3" s="36">
        <v>42735</v>
      </c>
      <c r="I3" s="36">
        <v>43100</v>
      </c>
      <c r="J3" s="36">
        <v>43465</v>
      </c>
      <c r="K3" s="36">
        <v>43830</v>
      </c>
      <c r="L3" s="36">
        <v>44196</v>
      </c>
      <c r="M3" s="384" t="s">
        <v>981</v>
      </c>
    </row>
    <row r="4" spans="1:16" s="131" customFormat="1" ht="15" x14ac:dyDescent="0.25">
      <c r="A4" s="131">
        <v>111001</v>
      </c>
      <c r="B4" s="45"/>
      <c r="C4" s="67">
        <v>11110001</v>
      </c>
      <c r="D4" s="45" t="s">
        <v>726</v>
      </c>
      <c r="E4" s="39">
        <v>2416501</v>
      </c>
      <c r="F4" s="39">
        <v>1507976</v>
      </c>
      <c r="G4" s="39">
        <v>307976</v>
      </c>
      <c r="H4" s="40">
        <f>VLOOKUP(C4,'[6]TB Land 31122016'!$A$3:$H$72,8,0)</f>
        <v>3007976</v>
      </c>
      <c r="I4" s="40">
        <v>1747061</v>
      </c>
      <c r="J4" s="40">
        <v>1747061</v>
      </c>
      <c r="K4" s="40">
        <v>12928744</v>
      </c>
      <c r="L4" s="40">
        <f>SUMIFS('Trial balance_2020'!K:K,'Trial balance_2020'!B:B,C4)</f>
        <v>3928744</v>
      </c>
      <c r="M4" s="61">
        <f>L4</f>
        <v>3928744</v>
      </c>
      <c r="N4" s="131" t="s">
        <v>700</v>
      </c>
    </row>
    <row r="5" spans="1:16" s="131" customFormat="1" ht="15" x14ac:dyDescent="0.25">
      <c r="A5" s="4">
        <v>111004</v>
      </c>
      <c r="B5" s="45"/>
      <c r="C5" s="67">
        <v>11210142</v>
      </c>
      <c r="D5" s="38" t="s">
        <v>789</v>
      </c>
      <c r="E5" s="39"/>
      <c r="F5" s="39"/>
      <c r="G5" s="39"/>
      <c r="H5" s="40"/>
      <c r="I5" s="40">
        <v>220000</v>
      </c>
      <c r="J5" s="40">
        <v>5101750</v>
      </c>
      <c r="K5" s="40">
        <v>4543500</v>
      </c>
      <c r="L5" s="40">
        <f>SUMIFS('Trial balance_2020'!K:K,'Trial balance_2020'!B:B,C5)</f>
        <v>3985250</v>
      </c>
      <c r="M5" s="61">
        <f t="shared" ref="M5:M6" si="0">L5</f>
        <v>3985250</v>
      </c>
      <c r="N5" s="131" t="s">
        <v>700</v>
      </c>
    </row>
    <row r="6" spans="1:16" ht="15" x14ac:dyDescent="0.25">
      <c r="A6" s="4">
        <v>111004</v>
      </c>
      <c r="C6" s="67">
        <v>11212401</v>
      </c>
      <c r="D6" s="38" t="s">
        <v>727</v>
      </c>
      <c r="E6" s="39">
        <v>234467913</v>
      </c>
      <c r="F6" s="39">
        <v>86846051</v>
      </c>
      <c r="G6" s="39">
        <v>96967690</v>
      </c>
      <c r="H6" s="40">
        <f>VLOOKUP(C6,'[6]TB Land 31122016'!$A$3:$H$72,8,0)</f>
        <v>92527363</v>
      </c>
      <c r="I6" s="40">
        <v>71661569</v>
      </c>
      <c r="J6" s="40">
        <v>209731587</v>
      </c>
      <c r="K6" s="40">
        <v>33757307</v>
      </c>
      <c r="L6" s="40">
        <f>SUMIFS('Trial balance_2020'!K:K,'Trial balance_2020'!B:B,C6)</f>
        <v>522796259</v>
      </c>
      <c r="M6" s="61">
        <f t="shared" si="0"/>
        <v>522796259</v>
      </c>
      <c r="N6" s="4" t="s">
        <v>700</v>
      </c>
    </row>
    <row r="7" spans="1:16" ht="15" x14ac:dyDescent="0.25">
      <c r="A7" s="4">
        <v>111004</v>
      </c>
      <c r="C7" s="67">
        <v>11218049</v>
      </c>
      <c r="D7" s="38" t="s">
        <v>728</v>
      </c>
      <c r="E7" s="39">
        <v>0</v>
      </c>
      <c r="F7" s="39">
        <v>1470454535</v>
      </c>
      <c r="G7" s="39">
        <v>28225514</v>
      </c>
      <c r="H7" s="40">
        <f>VLOOKUP(C7,'[6]TB Land 31122016'!$A$3:$H$72,8,0)</f>
        <v>0</v>
      </c>
      <c r="I7" s="40"/>
      <c r="J7" s="40">
        <v>0</v>
      </c>
      <c r="K7" s="40">
        <v>0</v>
      </c>
      <c r="L7" s="40">
        <f>SUMIFS('Trial balance_2020'!K:K,'Trial balance_2020'!B:B,C7)</f>
        <v>0</v>
      </c>
      <c r="M7" s="40">
        <v>100000000000</v>
      </c>
      <c r="O7" s="4" t="s">
        <v>989</v>
      </c>
    </row>
    <row r="8" spans="1:16" ht="15" x14ac:dyDescent="0.25">
      <c r="A8" s="4">
        <v>111004</v>
      </c>
      <c r="C8" s="67">
        <v>11218049</v>
      </c>
      <c r="D8" s="38" t="s">
        <v>728</v>
      </c>
      <c r="E8" s="39">
        <v>0</v>
      </c>
      <c r="F8" s="39">
        <v>1470454535</v>
      </c>
      <c r="G8" s="39">
        <v>28225514</v>
      </c>
      <c r="H8" s="40">
        <f>VLOOKUP(C8,'[6]TB Land 31122016'!$A$3:$H$72,8,0)</f>
        <v>0</v>
      </c>
      <c r="I8" s="40"/>
      <c r="J8" s="40">
        <v>0</v>
      </c>
      <c r="K8" s="40">
        <v>0</v>
      </c>
      <c r="L8" s="40">
        <f>SUMIFS('Trial balance_2020'!K:K,'Trial balance_2020'!B:B,C8)</f>
        <v>0</v>
      </c>
      <c r="M8" s="40">
        <v>15000000000</v>
      </c>
      <c r="O8" s="4" t="s">
        <v>989</v>
      </c>
    </row>
    <row r="9" spans="1:16" ht="15" x14ac:dyDescent="0.25">
      <c r="A9" s="4">
        <v>111004</v>
      </c>
      <c r="C9" s="67">
        <v>11218049</v>
      </c>
      <c r="D9" s="38" t="s">
        <v>728</v>
      </c>
      <c r="E9" s="39">
        <v>0</v>
      </c>
      <c r="F9" s="39">
        <v>1470454535</v>
      </c>
      <c r="G9" s="39">
        <v>28225514</v>
      </c>
      <c r="H9" s="40">
        <f>VLOOKUP(C9,'[6]TB Land 31122016'!$A$3:$H$72,8,0)</f>
        <v>0</v>
      </c>
      <c r="I9" s="40"/>
      <c r="J9" s="40">
        <v>0</v>
      </c>
      <c r="K9" s="40">
        <v>0</v>
      </c>
      <c r="L9" s="40">
        <f>SUMIFS('Trial balance_2020'!K:K,'Trial balance_2020'!B:B,C9)</f>
        <v>0</v>
      </c>
      <c r="M9" s="40">
        <f>-M72</f>
        <v>-1200000000</v>
      </c>
      <c r="O9" s="4" t="s">
        <v>989</v>
      </c>
      <c r="P9" s="4" t="s">
        <v>992</v>
      </c>
    </row>
    <row r="10" spans="1:16" ht="15" x14ac:dyDescent="0.25">
      <c r="A10" s="4">
        <v>111004</v>
      </c>
      <c r="C10" s="67">
        <v>11218049</v>
      </c>
      <c r="D10" s="38" t="s">
        <v>728</v>
      </c>
      <c r="E10" s="39">
        <v>0</v>
      </c>
      <c r="F10" s="39">
        <v>1470454535</v>
      </c>
      <c r="G10" s="39">
        <v>28225514</v>
      </c>
      <c r="H10" s="40">
        <f>VLOOKUP(C10,'[6]TB Land 31122016'!$A$3:$H$72,8,0)</f>
        <v>0</v>
      </c>
      <c r="I10" s="40"/>
      <c r="J10" s="40">
        <v>0</v>
      </c>
      <c r="K10" s="40">
        <v>0</v>
      </c>
      <c r="L10" s="40">
        <f>SUMIFS('Trial balance_2020'!K:K,'Trial balance_2020'!B:B,C10)</f>
        <v>0</v>
      </c>
      <c r="M10" s="40">
        <f>-50000000000</f>
        <v>-50000000000</v>
      </c>
      <c r="O10" s="4" t="s">
        <v>989</v>
      </c>
      <c r="P10" s="4" t="s">
        <v>993</v>
      </c>
    </row>
    <row r="11" spans="1:16" ht="15" x14ac:dyDescent="0.25">
      <c r="A11" s="4">
        <v>111004</v>
      </c>
      <c r="C11" s="67">
        <v>11218049</v>
      </c>
      <c r="D11" s="38" t="s">
        <v>728</v>
      </c>
      <c r="E11" s="39">
        <v>0</v>
      </c>
      <c r="F11" s="39">
        <v>1470454535</v>
      </c>
      <c r="G11" s="39">
        <v>28225514</v>
      </c>
      <c r="H11" s="40">
        <f>VLOOKUP(C11,'[6]TB Land 31122016'!$A$3:$H$72,8,0)</f>
        <v>0</v>
      </c>
      <c r="I11" s="40"/>
      <c r="J11" s="40">
        <v>0</v>
      </c>
      <c r="K11" s="40">
        <v>0</v>
      </c>
      <c r="L11" s="40">
        <f>SUMIFS('Trial balance_2020'!K:K,'Trial balance_2020'!B:B,C11)</f>
        <v>0</v>
      </c>
      <c r="M11" s="40">
        <f>-M86-M50</f>
        <v>-4543595647</v>
      </c>
      <c r="O11" s="4" t="s">
        <v>989</v>
      </c>
      <c r="P11" s="4" t="s">
        <v>1092</v>
      </c>
    </row>
    <row r="12" spans="1:16" ht="15" x14ac:dyDescent="0.25">
      <c r="A12" s="4">
        <v>136002</v>
      </c>
      <c r="C12" s="67">
        <v>13110001</v>
      </c>
      <c r="D12" s="38" t="s">
        <v>743</v>
      </c>
      <c r="E12" s="39">
        <v>184678353546</v>
      </c>
      <c r="F12" s="39">
        <v>0</v>
      </c>
      <c r="G12" s="39">
        <v>-53701078010</v>
      </c>
      <c r="H12" s="40">
        <f>VLOOKUP(C12,'[6]TB Land 31122016'!$A$3:$H$72,8,0)</f>
        <v>-45358824472</v>
      </c>
      <c r="I12" s="40"/>
      <c r="J12" s="40">
        <v>0</v>
      </c>
      <c r="K12" s="40">
        <v>9300000000</v>
      </c>
      <c r="L12" s="40">
        <f>SUMIFS('Trial balance_2020'!K:K,'Trial balance_2020'!B:B,C12)</f>
        <v>0</v>
      </c>
    </row>
    <row r="13" spans="1:16" ht="15" x14ac:dyDescent="0.25">
      <c r="A13" s="4">
        <v>131001</v>
      </c>
      <c r="C13" s="67">
        <v>33110001</v>
      </c>
      <c r="D13" s="38" t="s">
        <v>743</v>
      </c>
      <c r="H13" s="40"/>
      <c r="I13" s="40">
        <v>-37515448810</v>
      </c>
      <c r="J13" s="40">
        <v>-37621113758</v>
      </c>
      <c r="K13" s="40">
        <v>0</v>
      </c>
      <c r="L13" s="40">
        <f>SUMIFS('Trial balance_2020'!K:K,'Trial balance_2020'!B:B,C13)</f>
        <v>0</v>
      </c>
    </row>
    <row r="14" spans="1:16" ht="15" x14ac:dyDescent="0.25">
      <c r="C14" s="67">
        <v>13680001</v>
      </c>
      <c r="D14" s="38" t="s">
        <v>797</v>
      </c>
      <c r="H14" s="40"/>
      <c r="I14" s="40"/>
      <c r="J14" s="40">
        <v>408059113686</v>
      </c>
      <c r="K14" s="40">
        <v>408059113686</v>
      </c>
      <c r="L14" s="40">
        <f>SUMIFS('Trial balance_2020'!K:K,'Trial balance_2020'!B:B,C14)</f>
        <v>408059113686</v>
      </c>
    </row>
    <row r="15" spans="1:16" x14ac:dyDescent="0.2">
      <c r="A15" s="4">
        <v>216002</v>
      </c>
      <c r="C15" s="38">
        <v>13880001</v>
      </c>
      <c r="D15" s="38" t="s">
        <v>17</v>
      </c>
      <c r="E15" s="39">
        <v>656975000</v>
      </c>
      <c r="F15" s="39">
        <v>550656975000</v>
      </c>
      <c r="G15" s="39">
        <v>656975000</v>
      </c>
      <c r="H15" s="40">
        <f>VLOOKUP(C15,'[6]TB Land 31122016'!$A$3:$H$72,8,0)</f>
        <v>0</v>
      </c>
      <c r="I15" s="40"/>
      <c r="J15" s="40">
        <v>0</v>
      </c>
      <c r="K15" s="40">
        <v>0</v>
      </c>
      <c r="L15" s="40">
        <f>SUMIFS('Trial balance_2020'!K:K,'Trial balance_2020'!B:B,C15)</f>
        <v>1841300000000</v>
      </c>
      <c r="M15" s="61">
        <f t="shared" ref="M15:M16" si="1">L15</f>
        <v>1841300000000</v>
      </c>
      <c r="N15" s="4" t="s">
        <v>700</v>
      </c>
    </row>
    <row r="16" spans="1:16" x14ac:dyDescent="0.2">
      <c r="A16" s="4">
        <v>136002</v>
      </c>
      <c r="C16" s="38">
        <v>14110001</v>
      </c>
      <c r="D16" s="38" t="s">
        <v>729</v>
      </c>
      <c r="F16" s="39">
        <v>400000000</v>
      </c>
      <c r="G16" s="39">
        <v>400000000</v>
      </c>
      <c r="H16" s="40">
        <f>VLOOKUP(C16,'[6]TB Land 31122016'!$A$3:$H$72,8,0)</f>
        <v>415000000</v>
      </c>
      <c r="I16" s="40">
        <v>400000000</v>
      </c>
      <c r="J16" s="40">
        <v>400000000</v>
      </c>
      <c r="K16" s="40">
        <v>400000000</v>
      </c>
      <c r="L16" s="40">
        <f>SUMIFS('Trial balance_2020'!K:K,'Trial balance_2020'!B:B,C16)</f>
        <v>400000000</v>
      </c>
      <c r="M16" s="61">
        <f t="shared" si="1"/>
        <v>400000000</v>
      </c>
      <c r="N16" s="4" t="s">
        <v>700</v>
      </c>
    </row>
    <row r="17" spans="1:15" x14ac:dyDescent="0.2">
      <c r="A17" s="4">
        <v>319003</v>
      </c>
      <c r="D17" s="38" t="s">
        <v>267</v>
      </c>
      <c r="F17" s="39">
        <v>5012009007</v>
      </c>
      <c r="G17" s="39">
        <v>0</v>
      </c>
      <c r="H17" s="40">
        <v>0</v>
      </c>
      <c r="I17" s="40"/>
      <c r="J17" s="40">
        <v>0</v>
      </c>
      <c r="K17" s="40">
        <v>0</v>
      </c>
      <c r="L17" s="40">
        <f>SUMIFS('Trial balance_2020'!K:K,'Trial balance_2020'!B:B,C17)</f>
        <v>0</v>
      </c>
    </row>
    <row r="18" spans="1:15" x14ac:dyDescent="0.2">
      <c r="A18" s="4">
        <v>222001</v>
      </c>
      <c r="C18" s="38">
        <v>21110001</v>
      </c>
      <c r="D18" s="38" t="s">
        <v>764</v>
      </c>
      <c r="E18" s="39">
        <v>113934545</v>
      </c>
      <c r="F18" s="39">
        <v>0</v>
      </c>
      <c r="G18" s="39">
        <v>0</v>
      </c>
      <c r="H18" s="40">
        <v>0</v>
      </c>
      <c r="I18" s="40"/>
      <c r="J18" s="40">
        <v>0</v>
      </c>
      <c r="K18" s="40">
        <v>0</v>
      </c>
      <c r="L18" s="40">
        <f>SUMIFS('Trial balance_2020'!K:K,'Trial balance_2020'!B:B,C18)</f>
        <v>0</v>
      </c>
    </row>
    <row r="19" spans="1:15" x14ac:dyDescent="0.2">
      <c r="A19" s="4">
        <v>231003</v>
      </c>
      <c r="D19" s="38" t="s">
        <v>768</v>
      </c>
      <c r="F19" s="39">
        <v>497901439936</v>
      </c>
      <c r="H19" s="40">
        <v>0</v>
      </c>
      <c r="I19" s="40"/>
      <c r="J19" s="40">
        <v>0</v>
      </c>
      <c r="K19" s="40">
        <v>0</v>
      </c>
      <c r="L19" s="40">
        <f>SUMIFS('Trial balance_2020'!K:K,'Trial balance_2020'!B:B,C19)</f>
        <v>0</v>
      </c>
    </row>
    <row r="20" spans="1:15" x14ac:dyDescent="0.2">
      <c r="A20" s="4">
        <v>232003</v>
      </c>
      <c r="D20" s="38" t="s">
        <v>769</v>
      </c>
      <c r="F20" s="39">
        <v>-212238951406</v>
      </c>
      <c r="H20" s="40">
        <v>0</v>
      </c>
      <c r="I20" s="40"/>
      <c r="J20" s="40">
        <v>0</v>
      </c>
      <c r="K20" s="40">
        <v>0</v>
      </c>
      <c r="L20" s="40">
        <f>SUMIFS('Trial balance_2020'!K:K,'Trial balance_2020'!B:B,C20)</f>
        <v>0</v>
      </c>
    </row>
    <row r="21" spans="1:15" x14ac:dyDescent="0.2">
      <c r="A21" s="4">
        <v>222004</v>
      </c>
      <c r="C21" s="38">
        <v>21140001</v>
      </c>
      <c r="D21" s="38" t="s">
        <v>731</v>
      </c>
      <c r="E21" s="39">
        <v>205464255</v>
      </c>
      <c r="F21" s="39">
        <v>205464255</v>
      </c>
      <c r="G21" s="39">
        <v>205464255</v>
      </c>
      <c r="H21" s="40">
        <f>VLOOKUP(C21,'[6]TB Land 31122016'!$A$3:$H$72,8,0)</f>
        <v>205464255</v>
      </c>
      <c r="I21" s="40">
        <v>205464255</v>
      </c>
      <c r="J21" s="40">
        <v>205464255</v>
      </c>
      <c r="K21" s="40">
        <v>205464255</v>
      </c>
      <c r="L21" s="40">
        <f>SUMIFS('Trial balance_2020'!K:K,'Trial balance_2020'!B:B,C21)</f>
        <v>205464255</v>
      </c>
      <c r="M21" s="61">
        <f t="shared" ref="M21:M30" si="2">L21</f>
        <v>205464255</v>
      </c>
      <c r="N21" s="4" t="s">
        <v>700</v>
      </c>
    </row>
    <row r="22" spans="1:15" x14ac:dyDescent="0.2">
      <c r="A22" s="4">
        <v>223001</v>
      </c>
      <c r="C22" s="38">
        <v>21410001</v>
      </c>
      <c r="D22" s="38" t="s">
        <v>765</v>
      </c>
      <c r="E22" s="39">
        <v>-101813793</v>
      </c>
      <c r="F22" s="39">
        <v>0</v>
      </c>
      <c r="H22" s="40">
        <v>0</v>
      </c>
      <c r="I22" s="40"/>
      <c r="J22" s="40">
        <v>0</v>
      </c>
      <c r="K22" s="40">
        <v>0</v>
      </c>
      <c r="L22" s="40">
        <f>SUMIFS('Trial balance_2020'!K:K,'Trial balance_2020'!B:B,C22)</f>
        <v>0</v>
      </c>
      <c r="M22" s="61">
        <f t="shared" si="2"/>
        <v>0</v>
      </c>
    </row>
    <row r="23" spans="1:15" x14ac:dyDescent="0.2">
      <c r="A23" s="4">
        <v>223004</v>
      </c>
      <c r="C23" s="38">
        <v>21410004</v>
      </c>
      <c r="D23" s="38" t="s">
        <v>733</v>
      </c>
      <c r="E23" s="39">
        <v>-205464255</v>
      </c>
      <c r="F23" s="39">
        <v>-205464255</v>
      </c>
      <c r="G23" s="39">
        <v>-205464255</v>
      </c>
      <c r="H23" s="40">
        <f>VLOOKUP(C23,'[6]TB Land 31122016'!$A$3:$H$72,8,0)</f>
        <v>-205464255</v>
      </c>
      <c r="I23" s="40">
        <v>-205464255</v>
      </c>
      <c r="J23" s="40">
        <v>-205464255</v>
      </c>
      <c r="K23" s="40">
        <v>-205464255</v>
      </c>
      <c r="L23" s="40">
        <f>SUMIFS('Trial balance_2020'!K:K,'Trial balance_2020'!B:B,C23)</f>
        <v>-205464255</v>
      </c>
      <c r="M23" s="61">
        <f t="shared" si="2"/>
        <v>-205464255</v>
      </c>
      <c r="N23" s="4" t="s">
        <v>700</v>
      </c>
    </row>
    <row r="24" spans="1:15" x14ac:dyDescent="0.2">
      <c r="A24" s="4">
        <v>228005</v>
      </c>
      <c r="C24" s="38">
        <v>21350001</v>
      </c>
      <c r="D24" s="38" t="s">
        <v>363</v>
      </c>
      <c r="E24" s="39">
        <v>8409309062</v>
      </c>
      <c r="F24" s="39">
        <v>8358798645</v>
      </c>
      <c r="G24" s="39">
        <v>8358798645</v>
      </c>
      <c r="H24" s="40">
        <f>VLOOKUP(C24,'[6]TB Land 31122016'!$A$3:$H$72,8,0)</f>
        <v>8358798645</v>
      </c>
      <c r="I24" s="40">
        <v>8358798645</v>
      </c>
      <c r="J24" s="40">
        <v>8358798645</v>
      </c>
      <c r="K24" s="40">
        <v>8358798645</v>
      </c>
      <c r="L24" s="40">
        <f>SUMIFS('Trial balance_2020'!K:K,'Trial balance_2020'!B:B,C24)</f>
        <v>8358798645</v>
      </c>
      <c r="M24" s="61">
        <f t="shared" si="2"/>
        <v>8358798645</v>
      </c>
      <c r="N24" s="4" t="s">
        <v>700</v>
      </c>
    </row>
    <row r="25" spans="1:15" x14ac:dyDescent="0.2">
      <c r="A25" s="4">
        <v>229005</v>
      </c>
      <c r="C25" s="38">
        <v>21430005</v>
      </c>
      <c r="D25" s="38" t="s">
        <v>734</v>
      </c>
      <c r="E25" s="39">
        <v>-6327192734</v>
      </c>
      <c r="F25" s="39">
        <v>-7109528848</v>
      </c>
      <c r="G25" s="39">
        <v>-7942375379</v>
      </c>
      <c r="H25" s="40">
        <f>VLOOKUP(C25,'[6]TB Land 31122016'!$A$3:$H$72,8,0)</f>
        <v>-8358798645</v>
      </c>
      <c r="I25" s="40">
        <v>-8358798645</v>
      </c>
      <c r="J25" s="40">
        <v>-8358798645</v>
      </c>
      <c r="K25" s="40">
        <v>-8358798645</v>
      </c>
      <c r="L25" s="40">
        <f>SUMIFS('Trial balance_2020'!K:K,'Trial balance_2020'!B:B,C25)</f>
        <v>-8358798645</v>
      </c>
      <c r="M25" s="61">
        <f t="shared" si="2"/>
        <v>-8358798645</v>
      </c>
      <c r="N25" s="4" t="s">
        <v>700</v>
      </c>
    </row>
    <row r="26" spans="1:15" x14ac:dyDescent="0.2">
      <c r="A26" s="4">
        <v>231003</v>
      </c>
      <c r="C26" s="38">
        <v>21120001</v>
      </c>
      <c r="D26" s="38" t="s">
        <v>730</v>
      </c>
      <c r="F26" s="39">
        <v>0</v>
      </c>
      <c r="G26" s="39">
        <v>497901439936</v>
      </c>
      <c r="H26" s="40">
        <v>0</v>
      </c>
      <c r="I26" s="40">
        <v>497901439936</v>
      </c>
      <c r="J26" s="40">
        <v>501355399936</v>
      </c>
      <c r="K26" s="40">
        <v>501355399936</v>
      </c>
      <c r="L26" s="40">
        <f>SUMIFS('Trial balance_2020'!K:K,'Trial balance_2020'!B:B,C26)</f>
        <v>504585604729</v>
      </c>
      <c r="M26" s="61">
        <f t="shared" si="2"/>
        <v>504585604729</v>
      </c>
      <c r="N26" s="4" t="s">
        <v>700</v>
      </c>
    </row>
    <row r="27" spans="1:15" x14ac:dyDescent="0.2">
      <c r="A27" s="4">
        <v>231002</v>
      </c>
      <c r="C27" s="38">
        <v>21710001</v>
      </c>
      <c r="D27" s="38" t="s">
        <v>735</v>
      </c>
      <c r="E27" s="39">
        <v>6510037640243</v>
      </c>
      <c r="F27" s="39">
        <v>5669080765580</v>
      </c>
      <c r="G27" s="39">
        <v>5669080765580</v>
      </c>
      <c r="H27" s="40">
        <f>VLOOKUP(C27,'[6]TB Land 31122016'!$A$3:$H$72,8,0)</f>
        <v>5669080765580</v>
      </c>
      <c r="I27" s="40">
        <v>5685248649078</v>
      </c>
      <c r="J27" s="40">
        <v>5694382728889</v>
      </c>
      <c r="K27" s="40">
        <v>5698601800765</v>
      </c>
      <c r="L27" s="40">
        <f>SUMIFS('Trial balance_2020'!K:K,'Trial balance_2020'!B:B,C27)</f>
        <v>5699135083895</v>
      </c>
      <c r="M27" s="61">
        <f t="shared" si="2"/>
        <v>5699135083895</v>
      </c>
      <c r="N27" s="4" t="s">
        <v>700</v>
      </c>
    </row>
    <row r="28" spans="1:15" x14ac:dyDescent="0.2">
      <c r="A28" s="4">
        <v>232003</v>
      </c>
      <c r="C28" s="38">
        <v>21410002</v>
      </c>
      <c r="D28" s="38" t="s">
        <v>732</v>
      </c>
      <c r="F28" s="39">
        <v>0</v>
      </c>
      <c r="H28" s="40"/>
      <c r="I28" s="40">
        <v>-311643245825</v>
      </c>
      <c r="J28" s="40">
        <v>-361312097588</v>
      </c>
      <c r="K28" s="40">
        <v>-411326345351</v>
      </c>
      <c r="L28" s="40">
        <f>SUMIFS('Trial balance_2020'!K:K,'Trial balance_2020'!B:B,C28)</f>
        <v>-461340593114</v>
      </c>
      <c r="M28" s="61">
        <f t="shared" si="2"/>
        <v>-461340593114</v>
      </c>
      <c r="N28" s="4" t="s">
        <v>700</v>
      </c>
    </row>
    <row r="29" spans="1:15" x14ac:dyDescent="0.2">
      <c r="A29" s="4">
        <v>232002</v>
      </c>
      <c r="C29" s="38">
        <v>21470001</v>
      </c>
      <c r="D29" s="38" t="s">
        <v>736</v>
      </c>
      <c r="E29" s="39">
        <v>-510153615897</v>
      </c>
      <c r="F29" s="39">
        <v>-522994477195</v>
      </c>
      <c r="G29" s="39">
        <v>-584623572202</v>
      </c>
      <c r="H29" s="40">
        <f>VLOOKUP(C29,'[6]TB Land 31122016'!$A$3:$H$72,8,0)</f>
        <v>-646252667207</v>
      </c>
      <c r="I29" s="40">
        <v>-769544681243</v>
      </c>
      <c r="J29" s="40">
        <v>-893228360574</v>
      </c>
      <c r="K29" s="40">
        <v>-1017136944340</v>
      </c>
      <c r="L29" s="40">
        <f>SUMIFS('Trial balance_2020'!K:K,'Trial balance_2020'!B:B,C29)</f>
        <v>-1141148958837</v>
      </c>
      <c r="M29" s="61">
        <f t="shared" si="2"/>
        <v>-1141148958837</v>
      </c>
      <c r="N29" s="4" t="s">
        <v>700</v>
      </c>
    </row>
    <row r="30" spans="1:15" x14ac:dyDescent="0.2">
      <c r="A30" s="4">
        <v>232002</v>
      </c>
      <c r="C30" s="38">
        <v>21470002</v>
      </c>
      <c r="D30" s="38" t="s">
        <v>737</v>
      </c>
      <c r="E30" s="39">
        <v>-56855357</v>
      </c>
      <c r="F30" s="39">
        <v>-56855357</v>
      </c>
      <c r="G30" s="39">
        <v>-56855357</v>
      </c>
      <c r="H30" s="40">
        <f>VLOOKUP(C30,'[6]TB Land 31122016'!$A$3:$H$72,8,0)</f>
        <v>-56855357</v>
      </c>
      <c r="I30" s="40">
        <v>-56855357</v>
      </c>
      <c r="J30" s="40">
        <v>-56855357</v>
      </c>
      <c r="K30" s="40">
        <v>-56855357</v>
      </c>
      <c r="L30" s="40">
        <f>SUMIFS('Trial balance_2020'!K:K,'Trial balance_2020'!B:B,C30)</f>
        <v>-56855357</v>
      </c>
      <c r="M30" s="61">
        <f t="shared" si="2"/>
        <v>-56855357</v>
      </c>
      <c r="N30" s="4" t="s">
        <v>700</v>
      </c>
    </row>
    <row r="31" spans="1:15" x14ac:dyDescent="0.2">
      <c r="A31" s="4">
        <f>MLS!A181</f>
        <v>242002</v>
      </c>
      <c r="D31" s="38" t="s">
        <v>988</v>
      </c>
      <c r="E31" s="39">
        <v>68932362</v>
      </c>
      <c r="H31" s="40">
        <v>0</v>
      </c>
      <c r="I31" s="40"/>
      <c r="J31" s="40">
        <v>0</v>
      </c>
      <c r="K31" s="40">
        <v>0</v>
      </c>
      <c r="L31" s="40">
        <f>SUMIFS('Trial balance_2020'!K:K,'Trial balance_2020'!B:B,C31)</f>
        <v>0</v>
      </c>
      <c r="M31" s="40">
        <f>120000000000</f>
        <v>120000000000</v>
      </c>
      <c r="O31" s="4" t="s">
        <v>989</v>
      </c>
    </row>
    <row r="32" spans="1:15" x14ac:dyDescent="0.2">
      <c r="A32" s="4">
        <v>242001</v>
      </c>
      <c r="D32" s="38" t="s">
        <v>52</v>
      </c>
      <c r="E32" s="39">
        <v>68932362</v>
      </c>
      <c r="H32" s="40">
        <v>0</v>
      </c>
      <c r="I32" s="40"/>
      <c r="J32" s="40">
        <v>0</v>
      </c>
      <c r="K32" s="40">
        <v>0</v>
      </c>
      <c r="L32" s="40">
        <f>SUMIFS('Trial balance_2020'!K:K,'Trial balance_2020'!B:B,C32)</f>
        <v>0</v>
      </c>
    </row>
    <row r="33" spans="1:16" ht="15" x14ac:dyDescent="0.25">
      <c r="A33" s="4">
        <v>318001</v>
      </c>
      <c r="C33" s="38">
        <v>33873301</v>
      </c>
      <c r="D33" s="38" t="s">
        <v>738</v>
      </c>
      <c r="E33" s="39">
        <v>-90114182400</v>
      </c>
      <c r="F33" s="132">
        <v>-23585686080</v>
      </c>
      <c r="G33" s="39">
        <v>-66528496320</v>
      </c>
      <c r="H33" s="40">
        <f>VLOOKUP(C33,'[6]TB Land 31122016'!$A$3:$H$72,8,0)</f>
        <v>0</v>
      </c>
      <c r="I33" s="40">
        <v>0</v>
      </c>
      <c r="J33" s="40">
        <v>0</v>
      </c>
      <c r="K33" s="40">
        <v>0</v>
      </c>
      <c r="L33" s="40">
        <f>SUMIFS('Trial balance_2020'!K:K,'Trial balance_2020'!B:B,C33)</f>
        <v>0</v>
      </c>
    </row>
    <row r="34" spans="1:16" ht="15" x14ac:dyDescent="0.25">
      <c r="A34" s="4">
        <v>336001</v>
      </c>
      <c r="D34" s="38" t="s">
        <v>80</v>
      </c>
      <c r="F34" s="132">
        <v>-42942810240</v>
      </c>
      <c r="G34" s="39">
        <v>0</v>
      </c>
      <c r="H34" s="40">
        <v>0</v>
      </c>
      <c r="I34" s="40"/>
      <c r="J34" s="40">
        <v>0</v>
      </c>
      <c r="K34" s="40">
        <v>0</v>
      </c>
      <c r="L34" s="40">
        <f>SUMIFS('Trial balance_2020'!K:K,'Trial balance_2020'!B:B,C34)</f>
        <v>0</v>
      </c>
    </row>
    <row r="35" spans="1:16" ht="15" x14ac:dyDescent="0.25">
      <c r="A35" s="4">
        <v>311001</v>
      </c>
      <c r="C35" s="38">
        <v>33110001</v>
      </c>
      <c r="D35" s="38" t="s">
        <v>744</v>
      </c>
      <c r="E35" s="39">
        <v>-70400000</v>
      </c>
      <c r="F35" s="133">
        <v>0</v>
      </c>
      <c r="G35" s="39">
        <v>121000000</v>
      </c>
      <c r="H35" s="40">
        <f>VLOOKUP(C35,'[6]TB Land 31122016'!$A$3:$H$72,8,0)</f>
        <v>-148950000</v>
      </c>
      <c r="I35" s="40">
        <v>0</v>
      </c>
      <c r="J35" s="40">
        <v>-42900000</v>
      </c>
      <c r="K35" s="40">
        <v>0</v>
      </c>
      <c r="L35" s="40">
        <f>SUMIFS('Trial balance_2020'!K:K,'Trial balance_2020'!B:B,C35)</f>
        <v>0</v>
      </c>
      <c r="M35" s="40">
        <f>-M31-M46-M10</f>
        <v>-62000000000</v>
      </c>
      <c r="O35" s="4" t="s">
        <v>989</v>
      </c>
    </row>
    <row r="36" spans="1:16" ht="15" x14ac:dyDescent="0.25">
      <c r="A36" s="4">
        <v>312001</v>
      </c>
      <c r="C36" s="38">
        <v>33110001</v>
      </c>
      <c r="D36" s="38" t="s">
        <v>744</v>
      </c>
      <c r="E36" s="39">
        <v>-227969500</v>
      </c>
      <c r="F36" s="133">
        <v>0</v>
      </c>
      <c r="G36" s="39">
        <v>-5293226</v>
      </c>
      <c r="H36" s="40">
        <v>0</v>
      </c>
      <c r="I36" s="40">
        <v>0</v>
      </c>
      <c r="J36" s="40">
        <v>0</v>
      </c>
      <c r="K36" s="40">
        <v>0</v>
      </c>
      <c r="L36" s="40">
        <f>SUMIFS('Trial balance_2020'!K:K,'Trial balance_2020'!B:B,C36)</f>
        <v>0</v>
      </c>
      <c r="M36" s="40">
        <v>-99999999</v>
      </c>
    </row>
    <row r="37" spans="1:16" x14ac:dyDescent="0.2">
      <c r="A37" s="4">
        <v>153001</v>
      </c>
      <c r="C37" s="38">
        <v>33310001</v>
      </c>
      <c r="D37" s="38" t="s">
        <v>739</v>
      </c>
      <c r="E37" s="39">
        <v>-658199544</v>
      </c>
      <c r="F37" s="39">
        <v>-76099164521</v>
      </c>
      <c r="G37" s="39">
        <v>0</v>
      </c>
      <c r="H37" s="40">
        <f>VLOOKUP(C37,'[6]TB Land 31122016'!$A$3:$H$72,8,0)</f>
        <v>0</v>
      </c>
      <c r="I37" s="40">
        <v>0</v>
      </c>
      <c r="J37" s="40">
        <v>1259003981</v>
      </c>
      <c r="K37" s="40">
        <v>0</v>
      </c>
      <c r="L37" s="40">
        <f>SUMIFS('Trial balance_2020'!K:K,'Trial balance_2020'!B:B,C37)</f>
        <v>380363644</v>
      </c>
      <c r="M37" s="61">
        <f t="shared" ref="M37" si="3">L37</f>
        <v>380363644</v>
      </c>
      <c r="N37" s="4" t="s">
        <v>700</v>
      </c>
    </row>
    <row r="38" spans="1:16" x14ac:dyDescent="0.2">
      <c r="A38" s="4">
        <v>313001</v>
      </c>
      <c r="C38" s="38">
        <v>33310001</v>
      </c>
      <c r="D38" s="38" t="s">
        <v>739</v>
      </c>
      <c r="E38" s="39">
        <v>-11080586293</v>
      </c>
      <c r="F38" s="39">
        <v>-1919604756</v>
      </c>
      <c r="G38" s="39">
        <v>-10784133564</v>
      </c>
      <c r="H38" s="40">
        <v>0</v>
      </c>
      <c r="I38" s="40">
        <v>0</v>
      </c>
      <c r="J38" s="40">
        <v>0</v>
      </c>
      <c r="K38" s="40">
        <v>-9290859479</v>
      </c>
    </row>
    <row r="39" spans="1:16" x14ac:dyDescent="0.2">
      <c r="A39" s="4">
        <v>153001</v>
      </c>
      <c r="C39" s="38">
        <v>33310001</v>
      </c>
      <c r="D39" s="38" t="s">
        <v>739</v>
      </c>
      <c r="H39" s="40">
        <v>66949770</v>
      </c>
      <c r="I39" s="40">
        <v>0</v>
      </c>
      <c r="J39" s="40">
        <v>0</v>
      </c>
      <c r="K39" s="40">
        <v>0</v>
      </c>
    </row>
    <row r="40" spans="1:16" x14ac:dyDescent="0.2">
      <c r="A40" s="4">
        <v>152002</v>
      </c>
      <c r="D40" s="38" t="s">
        <v>24</v>
      </c>
      <c r="H40" s="40"/>
      <c r="I40" s="40">
        <v>1617013677</v>
      </c>
      <c r="J40" s="40">
        <v>0</v>
      </c>
      <c r="K40" s="40">
        <v>0</v>
      </c>
    </row>
    <row r="41" spans="1:16" x14ac:dyDescent="0.2">
      <c r="A41" s="4">
        <f>MLS!A229</f>
        <v>320001</v>
      </c>
      <c r="D41" s="38" t="s">
        <v>990</v>
      </c>
      <c r="E41" s="39">
        <v>-988061252</v>
      </c>
      <c r="F41" s="39">
        <v>-2165115784</v>
      </c>
      <c r="G41" s="39">
        <v>0</v>
      </c>
      <c r="H41" s="40" t="e">
        <f>VLOOKUP(C41,'[6]TB Land 31122016'!$A$3:$H$72,8,0)</f>
        <v>#N/A</v>
      </c>
      <c r="I41" s="40">
        <v>0</v>
      </c>
      <c r="J41" s="40">
        <v>0</v>
      </c>
      <c r="K41" s="40">
        <v>0</v>
      </c>
      <c r="M41" s="40">
        <f>-P41*M7</f>
        <v>-20000000000</v>
      </c>
      <c r="O41" s="4" t="s">
        <v>989</v>
      </c>
      <c r="P41" s="391">
        <v>0.2</v>
      </c>
    </row>
    <row r="42" spans="1:16" x14ac:dyDescent="0.2">
      <c r="A42" s="4">
        <f>MLS!A261</f>
        <v>338001</v>
      </c>
      <c r="D42" s="38" t="s">
        <v>990</v>
      </c>
      <c r="E42" s="39">
        <v>-406104527</v>
      </c>
      <c r="F42" s="39">
        <v>-1436619914</v>
      </c>
      <c r="G42" s="39">
        <v>0</v>
      </c>
      <c r="H42" s="40" t="e">
        <f>VLOOKUP(C42,'[6]TB Land 31122016'!$A$3:$H$72,8,0)</f>
        <v>#N/A</v>
      </c>
      <c r="I42" s="40">
        <v>0</v>
      </c>
      <c r="J42" s="40">
        <v>0</v>
      </c>
      <c r="K42" s="40">
        <v>0</v>
      </c>
      <c r="M42" s="40">
        <f>-P42*M7</f>
        <v>-80000000000</v>
      </c>
      <c r="O42" s="4" t="s">
        <v>989</v>
      </c>
      <c r="P42" s="391">
        <v>0.8</v>
      </c>
    </row>
    <row r="43" spans="1:16" x14ac:dyDescent="0.2">
      <c r="A43" s="4">
        <f>A41</f>
        <v>320001</v>
      </c>
      <c r="D43" s="38" t="s">
        <v>991</v>
      </c>
      <c r="E43" s="39">
        <v>-988061252</v>
      </c>
      <c r="F43" s="39">
        <v>-2165115784</v>
      </c>
      <c r="G43" s="39">
        <v>0</v>
      </c>
      <c r="H43" s="40" t="e">
        <f>VLOOKUP(C43,'[6]TB Land 31122016'!$A$3:$H$72,8,0)</f>
        <v>#N/A</v>
      </c>
      <c r="I43" s="40">
        <v>0</v>
      </c>
      <c r="J43" s="40">
        <v>0</v>
      </c>
      <c r="K43" s="40">
        <v>0</v>
      </c>
      <c r="M43" s="40">
        <f>-P43*M8</f>
        <v>-15000000000</v>
      </c>
      <c r="O43" s="4" t="s">
        <v>989</v>
      </c>
      <c r="P43" s="391">
        <v>1</v>
      </c>
    </row>
    <row r="44" spans="1:16" x14ac:dyDescent="0.2">
      <c r="A44" s="4">
        <f>A42</f>
        <v>338001</v>
      </c>
      <c r="D44" s="38" t="s">
        <v>991</v>
      </c>
      <c r="E44" s="39">
        <v>-406104527</v>
      </c>
      <c r="F44" s="39">
        <v>-1436619914</v>
      </c>
      <c r="G44" s="39">
        <v>0</v>
      </c>
      <c r="H44" s="40" t="e">
        <f>VLOOKUP(C44,'[6]TB Land 31122016'!$A$3:$H$72,8,0)</f>
        <v>#N/A</v>
      </c>
      <c r="I44" s="40">
        <v>0</v>
      </c>
      <c r="J44" s="40">
        <v>0</v>
      </c>
      <c r="K44" s="40">
        <v>0</v>
      </c>
      <c r="M44" s="40">
        <f>-P44*M8</f>
        <v>0</v>
      </c>
      <c r="O44" s="4" t="s">
        <v>989</v>
      </c>
      <c r="P44" s="391">
        <v>0</v>
      </c>
    </row>
    <row r="45" spans="1:16" x14ac:dyDescent="0.2">
      <c r="A45" s="4">
        <v>313001</v>
      </c>
      <c r="C45" s="38">
        <v>33310001</v>
      </c>
      <c r="D45" s="38" t="s">
        <v>739</v>
      </c>
      <c r="E45" s="39">
        <v>-124107820</v>
      </c>
      <c r="F45" s="39">
        <v>-221180223</v>
      </c>
      <c r="G45" s="39">
        <v>0</v>
      </c>
      <c r="H45" s="40">
        <f>VLOOKUP(C45,'[6]TB Land 31122016'!$A$3:$H$72,8,0)</f>
        <v>0</v>
      </c>
      <c r="I45" s="40">
        <v>0</v>
      </c>
      <c r="J45" s="40">
        <v>0</v>
      </c>
      <c r="K45" s="40">
        <v>0</v>
      </c>
    </row>
    <row r="46" spans="1:16" x14ac:dyDescent="0.2">
      <c r="A46" s="4">
        <v>315001</v>
      </c>
      <c r="C46" s="38">
        <v>33510001</v>
      </c>
      <c r="D46" s="38" t="s">
        <v>64</v>
      </c>
      <c r="E46" s="39">
        <v>-8551392572</v>
      </c>
      <c r="F46" s="39">
        <v>-5314471822</v>
      </c>
      <c r="G46" s="39">
        <v>-5314471822</v>
      </c>
      <c r="H46" s="40">
        <f>VLOOKUP(C46,'[6]TB Land 31122016'!$A$3:$H$72,8,0)</f>
        <v>-1314471822</v>
      </c>
      <c r="I46" s="40">
        <v>-1314471822</v>
      </c>
      <c r="J46" s="40">
        <v>-1314471822</v>
      </c>
      <c r="K46" s="40">
        <v>-1314471822</v>
      </c>
      <c r="L46" s="40">
        <f>SUMIFS('Trial balance_2020'!K:K,'Trial balance_2020'!B:B,C46)</f>
        <v>0</v>
      </c>
      <c r="M46" s="40">
        <v>-8000000000</v>
      </c>
      <c r="O46" s="4" t="s">
        <v>989</v>
      </c>
      <c r="P46" s="4" t="s">
        <v>994</v>
      </c>
    </row>
    <row r="47" spans="1:16" x14ac:dyDescent="0.2">
      <c r="C47" s="38">
        <v>33680001</v>
      </c>
      <c r="D47" s="38" t="s">
        <v>798</v>
      </c>
      <c r="H47" s="40"/>
      <c r="I47" s="40"/>
      <c r="J47" s="40">
        <v>-1855963866650</v>
      </c>
      <c r="K47" s="40">
        <v>-1855963866650</v>
      </c>
      <c r="L47" s="40">
        <f>SUMIFS('Trial balance_2020'!K:K,'Trial balance_2020'!B:B,C47)</f>
        <v>-1855963866650</v>
      </c>
    </row>
    <row r="48" spans="1:16" x14ac:dyDescent="0.2">
      <c r="A48" s="4">
        <v>319003</v>
      </c>
      <c r="C48" s="38">
        <v>33880001</v>
      </c>
      <c r="D48" s="38" t="s">
        <v>267</v>
      </c>
      <c r="E48" s="39">
        <v>-5048294537944</v>
      </c>
      <c r="F48" s="39">
        <v>-3700209364713</v>
      </c>
      <c r="G48" s="39">
        <v>-45464191763</v>
      </c>
      <c r="H48" s="40">
        <v>-25262000000</v>
      </c>
      <c r="I48" s="40"/>
      <c r="J48" s="40">
        <v>0</v>
      </c>
      <c r="K48" s="40">
        <v>0</v>
      </c>
      <c r="L48" s="40">
        <f>SUMIFS('Trial balance_2020'!K:K,'Trial balance_2020'!B:B,C48)</f>
        <v>-4559915595</v>
      </c>
    </row>
    <row r="49" spans="1:14" x14ac:dyDescent="0.2">
      <c r="A49" s="4">
        <v>313009</v>
      </c>
      <c r="C49" s="38">
        <v>33389999</v>
      </c>
      <c r="D49" s="38" t="s">
        <v>790</v>
      </c>
      <c r="H49" s="40"/>
      <c r="I49" s="40">
        <v>-112189440</v>
      </c>
      <c r="J49" s="40">
        <v>0</v>
      </c>
      <c r="K49" s="40">
        <v>0</v>
      </c>
      <c r="L49" s="40">
        <f>SUMIFS('Trial balance_2020'!K:K,'Trial balance_2020'!B:B,C49)</f>
        <v>0</v>
      </c>
    </row>
    <row r="50" spans="1:14" x14ac:dyDescent="0.2">
      <c r="A50" s="4">
        <f>MLS!A210</f>
        <v>313005</v>
      </c>
      <c r="D50" s="38" t="s">
        <v>1091</v>
      </c>
      <c r="H50" s="40"/>
      <c r="I50" s="40">
        <v>-112189440</v>
      </c>
      <c r="J50" s="40">
        <v>0</v>
      </c>
      <c r="K50" s="40">
        <v>0</v>
      </c>
      <c r="L50" s="40">
        <f>SUMIFS('Trial balance_2020'!K:K,'Trial balance_2020'!B:B,C50)</f>
        <v>0</v>
      </c>
      <c r="M50" s="40">
        <f>-ROUND(M86/4,0)</f>
        <v>-1514531883</v>
      </c>
    </row>
    <row r="51" spans="1:14" x14ac:dyDescent="0.2">
      <c r="A51" s="4">
        <v>337004</v>
      </c>
      <c r="C51" s="38">
        <v>34410001</v>
      </c>
      <c r="D51" s="38" t="s">
        <v>745</v>
      </c>
      <c r="E51" s="39">
        <v>-312975000</v>
      </c>
      <c r="G51" s="39">
        <v>-3033333333333</v>
      </c>
      <c r="H51" s="40">
        <f>VLOOKUP(C51,'[6]TB Land 31122016'!$A$3:$H$72,8,0)</f>
        <v>-3033333333333</v>
      </c>
      <c r="I51" s="40"/>
      <c r="J51" s="40">
        <v>-2682930181694</v>
      </c>
      <c r="K51" s="40">
        <v>-2463861108883</v>
      </c>
      <c r="L51" s="40">
        <f>SUMIFS('Trial balance_2020'!K:K,'Trial balance_2020'!B:B,C51)</f>
        <v>-4052494442215</v>
      </c>
      <c r="M51" s="383">
        <v>-4056842168371</v>
      </c>
      <c r="N51" s="383">
        <v>4056842168371</v>
      </c>
    </row>
    <row r="52" spans="1:14" x14ac:dyDescent="0.2">
      <c r="A52" s="4">
        <v>411001</v>
      </c>
      <c r="C52" s="38">
        <v>41110001</v>
      </c>
      <c r="D52" s="38" t="s">
        <v>740</v>
      </c>
      <c r="E52" s="39">
        <v>-2777889810736</v>
      </c>
      <c r="F52" s="39">
        <v>-292911804763</v>
      </c>
      <c r="G52" s="39">
        <v>-292911804763</v>
      </c>
      <c r="H52" s="40">
        <f>VLOOKUP(C52,'[6]TB Land 31122016'!$A$3:$H$72,8,0)</f>
        <v>-292911804763</v>
      </c>
      <c r="I52" s="40">
        <v>-292911804763</v>
      </c>
      <c r="J52" s="40">
        <v>-292911804763</v>
      </c>
      <c r="K52" s="40">
        <v>-2198548459505</v>
      </c>
      <c r="L52" s="40">
        <f>SUMIFS('Trial balance_2020'!K:K,'Trial balance_2020'!B:B,C52)</f>
        <v>-2198548459505</v>
      </c>
      <c r="M52" s="40">
        <v>-2491460264268</v>
      </c>
    </row>
    <row r="53" spans="1:14" x14ac:dyDescent="0.2">
      <c r="A53" s="4">
        <f>A52</f>
        <v>411001</v>
      </c>
      <c r="C53" s="38">
        <v>41180001</v>
      </c>
      <c r="D53" s="38" t="s">
        <v>96</v>
      </c>
      <c r="F53" s="39">
        <v>-746000000000</v>
      </c>
      <c r="G53" s="39">
        <v>-746000000000</v>
      </c>
      <c r="H53" s="40">
        <f>VLOOKUP(C53,'[6]TB Land 31122016'!$A$3:$H$72,8,0)</f>
        <v>-746000000000</v>
      </c>
      <c r="I53" s="40">
        <v>-746000000000</v>
      </c>
      <c r="J53" s="40">
        <v>-746000000000</v>
      </c>
      <c r="K53" s="40">
        <v>-96429546468</v>
      </c>
      <c r="L53" s="40">
        <f>SUMIFS('Trial balance_2020'!K:K,'Trial balance_2020'!B:B,C53)</f>
        <v>-96429546468</v>
      </c>
      <c r="M53" s="40">
        <v>-842429546468</v>
      </c>
    </row>
    <row r="54" spans="1:14" x14ac:dyDescent="0.2">
      <c r="A54" s="4">
        <v>421001</v>
      </c>
      <c r="C54" s="38">
        <v>42110001</v>
      </c>
      <c r="D54" s="38" t="s">
        <v>741</v>
      </c>
      <c r="F54" s="39">
        <v>-257095</v>
      </c>
      <c r="G54" s="39">
        <v>-257095</v>
      </c>
      <c r="H54" s="40">
        <f>VLOOKUP(C54,'[6]TB Land 31122016'!$A$3:$H$72,8,0)</f>
        <v>-257095</v>
      </c>
      <c r="I54" s="40">
        <v>-257095</v>
      </c>
      <c r="J54" s="40">
        <v>0</v>
      </c>
      <c r="K54" s="40">
        <v>0</v>
      </c>
      <c r="L54" s="40">
        <f>SUMIFS('Trial balance_2020'!K:K,'Trial balance_2020'!B:B,C54)</f>
        <v>0</v>
      </c>
    </row>
    <row r="55" spans="1:14" x14ac:dyDescent="0.2">
      <c r="A55" s="4">
        <v>417001</v>
      </c>
      <c r="C55" s="38">
        <v>41310001</v>
      </c>
      <c r="D55" s="38" t="s">
        <v>440</v>
      </c>
      <c r="E55" s="39">
        <v>47123350141</v>
      </c>
      <c r="H55" s="40">
        <v>0</v>
      </c>
      <c r="I55" s="40"/>
      <c r="J55" s="40">
        <v>0</v>
      </c>
      <c r="K55" s="40">
        <v>0</v>
      </c>
      <c r="L55" s="40">
        <f>SUMIFS('Trial balance_2020'!K:K,'Trial balance_2020'!B:B,C55)</f>
        <v>0</v>
      </c>
    </row>
    <row r="56" spans="1:14" x14ac:dyDescent="0.2">
      <c r="A56" s="4">
        <v>421001</v>
      </c>
      <c r="C56" s="38">
        <v>42120001</v>
      </c>
      <c r="D56" s="38" t="s">
        <v>742</v>
      </c>
      <c r="E56" s="39">
        <v>-257095</v>
      </c>
      <c r="F56" s="39">
        <v>-35440962101</v>
      </c>
      <c r="G56" s="39">
        <v>-408927335849</v>
      </c>
      <c r="H56" s="40">
        <v>-408927335849</v>
      </c>
      <c r="I56" s="40">
        <v>-408928331537</v>
      </c>
      <c r="J56" s="40">
        <v>1564854411251</v>
      </c>
      <c r="K56" s="40">
        <v>1521775026526</v>
      </c>
      <c r="L56" s="40">
        <f>SUMIFS('Trial balance_2020'!K:K,'Trial balance_2020'!B:B,C56)</f>
        <v>1436530209742</v>
      </c>
      <c r="M56" s="40">
        <v>1027537261541</v>
      </c>
      <c r="N56" s="66">
        <f>L56-K56</f>
        <v>-85244816784</v>
      </c>
    </row>
    <row r="57" spans="1:14" x14ac:dyDescent="0.2">
      <c r="A57" s="4">
        <v>421002</v>
      </c>
      <c r="D57" s="38" t="s">
        <v>766</v>
      </c>
      <c r="E57" s="40">
        <v>58935073255</v>
      </c>
      <c r="F57" s="39">
        <v>-117040883079</v>
      </c>
      <c r="G57" s="39">
        <v>-109951285</v>
      </c>
      <c r="H57" s="40">
        <v>-21183559260</v>
      </c>
      <c r="I57" s="40"/>
      <c r="J57" s="40">
        <v>0</v>
      </c>
      <c r="K57" s="40">
        <v>0</v>
      </c>
      <c r="L57" s="40">
        <f>SUMIFS('Trial balance_2020'!K:K,'Trial balance_2020'!B:B,C57)</f>
        <v>0</v>
      </c>
    </row>
    <row r="58" spans="1:14" x14ac:dyDescent="0.2">
      <c r="A58" s="4">
        <v>251001</v>
      </c>
      <c r="C58" s="38">
        <v>22310001</v>
      </c>
      <c r="D58" s="38" t="s">
        <v>767</v>
      </c>
      <c r="E58" s="39">
        <v>550000000000</v>
      </c>
      <c r="H58" s="40"/>
      <c r="I58" s="40"/>
      <c r="J58" s="40">
        <v>0</v>
      </c>
      <c r="K58" s="40">
        <v>0</v>
      </c>
      <c r="L58" s="40">
        <f>SUMIFS('Trial balance_2020'!K:K,'Trial balance_2020'!B:B,C58)</f>
        <v>0</v>
      </c>
    </row>
    <row r="59" spans="1:14" x14ac:dyDescent="0.2">
      <c r="A59" s="4">
        <v>511300</v>
      </c>
      <c r="C59" s="38">
        <v>51171000</v>
      </c>
      <c r="D59" s="38" t="s">
        <v>746</v>
      </c>
      <c r="E59" s="39">
        <v>-602755000</v>
      </c>
      <c r="F59" s="39">
        <v>-810000000</v>
      </c>
      <c r="G59" s="39">
        <v>0</v>
      </c>
      <c r="H59" s="40"/>
      <c r="I59" s="40"/>
      <c r="J59" s="40">
        <v>0</v>
      </c>
      <c r="K59" s="40">
        <v>0</v>
      </c>
      <c r="L59" s="40">
        <f>SUMIFS('Trial balance_2020'!K:K,'Trial balance_2020'!B:B,C59)</f>
        <v>0</v>
      </c>
    </row>
    <row r="60" spans="1:14" x14ac:dyDescent="0.2">
      <c r="A60" s="4">
        <v>511300</v>
      </c>
      <c r="C60" s="38">
        <v>51171001</v>
      </c>
      <c r="D60" s="38" t="s">
        <v>747</v>
      </c>
      <c r="E60" s="39">
        <v>-16915117864</v>
      </c>
      <c r="F60" s="39">
        <v>-29324909924</v>
      </c>
      <c r="G60" s="39">
        <v>-108333333334</v>
      </c>
      <c r="H60" s="40">
        <v>-216666666668</v>
      </c>
      <c r="I60" s="40"/>
      <c r="J60" s="40">
        <v>-216666666668</v>
      </c>
      <c r="K60" s="40">
        <v>-259666666668</v>
      </c>
      <c r="L60" s="40">
        <f>SUMIFS('Trial balance_2020'!K:K,'Trial balance_2020'!B:B,C60)</f>
        <v>-151333333334</v>
      </c>
      <c r="M60" s="40">
        <f>L60</f>
        <v>-151333333334</v>
      </c>
    </row>
    <row r="61" spans="1:14" x14ac:dyDescent="0.2">
      <c r="A61" s="4">
        <v>511300</v>
      </c>
      <c r="C61" s="38" t="s">
        <v>952</v>
      </c>
      <c r="D61" s="38" t="s">
        <v>747</v>
      </c>
      <c r="E61" s="39">
        <v>-16915117864</v>
      </c>
      <c r="F61" s="39">
        <v>-29324909924</v>
      </c>
      <c r="G61" s="39">
        <v>-108333333334</v>
      </c>
      <c r="H61" s="40">
        <v>-216666666668</v>
      </c>
      <c r="I61" s="40"/>
      <c r="J61" s="40">
        <v>-216666666668</v>
      </c>
      <c r="K61" s="40">
        <v>-259666666668</v>
      </c>
      <c r="L61" s="40">
        <f>SUMIFS('Trial balance_2020'!K:K,'Trial balance_2020'!B:B,C61)</f>
        <v>-108333333334</v>
      </c>
      <c r="M61" s="40">
        <f t="shared" ref="M61:M88" si="4">L61</f>
        <v>-108333333334</v>
      </c>
    </row>
    <row r="62" spans="1:14" x14ac:dyDescent="0.2">
      <c r="A62" s="4">
        <v>632300</v>
      </c>
      <c r="C62" s="38">
        <v>63233001</v>
      </c>
      <c r="D62" s="38" t="s">
        <v>748</v>
      </c>
      <c r="E62" s="39">
        <v>5901106864</v>
      </c>
      <c r="F62" s="39">
        <v>8875999915</v>
      </c>
      <c r="G62" s="39">
        <v>0</v>
      </c>
      <c r="H62" s="40">
        <v>0</v>
      </c>
      <c r="I62" s="40"/>
      <c r="J62" s="40">
        <v>0</v>
      </c>
      <c r="K62" s="40">
        <v>0</v>
      </c>
      <c r="L62" s="40">
        <f>SUMIFS('Trial balance_2020'!K:K,'Trial balance_2020'!B:B,C62)</f>
        <v>0</v>
      </c>
      <c r="M62" s="40">
        <f t="shared" si="4"/>
        <v>0</v>
      </c>
    </row>
    <row r="63" spans="1:14" x14ac:dyDescent="0.2">
      <c r="A63" s="4">
        <v>632300</v>
      </c>
      <c r="C63" s="38">
        <v>63271001</v>
      </c>
      <c r="D63" s="38" t="s">
        <v>749</v>
      </c>
      <c r="E63" s="39">
        <v>8277140375</v>
      </c>
      <c r="F63" s="39">
        <v>14015300572</v>
      </c>
      <c r="G63" s="39">
        <v>0</v>
      </c>
      <c r="H63" s="40">
        <f>VLOOKUP(C63,'[6]TB Land 31122016'!$A$3:$H$72,8,0)</f>
        <v>300000</v>
      </c>
      <c r="I63" s="40"/>
      <c r="J63" s="40">
        <v>0</v>
      </c>
      <c r="K63" s="40">
        <v>0</v>
      </c>
      <c r="L63" s="40">
        <f>SUMIFS('Trial balance_2020'!K:K,'Trial balance_2020'!B:B,C63)</f>
        <v>0</v>
      </c>
      <c r="M63" s="40">
        <f t="shared" si="4"/>
        <v>0</v>
      </c>
    </row>
    <row r="64" spans="1:14" x14ac:dyDescent="0.2">
      <c r="A64" s="4">
        <v>632300</v>
      </c>
      <c r="C64" s="38">
        <v>63271001</v>
      </c>
      <c r="D64" s="38" t="s">
        <v>749</v>
      </c>
      <c r="E64" s="39">
        <v>52895850730</v>
      </c>
      <c r="F64" s="39">
        <v>126838756428</v>
      </c>
      <c r="G64" s="39">
        <v>0</v>
      </c>
      <c r="H64" s="40">
        <v>0</v>
      </c>
      <c r="I64" s="40"/>
      <c r="J64" s="40">
        <v>0</v>
      </c>
      <c r="K64" s="40">
        <v>0</v>
      </c>
      <c r="L64" s="40">
        <f>SUMIFS('Trial balance_2020'!K:K,'Trial balance_2020'!B:B,C64)</f>
        <v>0</v>
      </c>
      <c r="M64" s="40">
        <f t="shared" si="4"/>
        <v>0</v>
      </c>
    </row>
    <row r="65" spans="1:16" x14ac:dyDescent="0.2">
      <c r="A65" s="4">
        <v>632300</v>
      </c>
      <c r="C65" s="38">
        <v>63271001</v>
      </c>
      <c r="D65" s="38" t="s">
        <v>749</v>
      </c>
      <c r="E65" s="39">
        <v>2361324922</v>
      </c>
      <c r="F65" s="39">
        <v>3499976039</v>
      </c>
      <c r="G65" s="39">
        <v>0</v>
      </c>
      <c r="H65" s="40">
        <v>0</v>
      </c>
      <c r="I65" s="40"/>
      <c r="J65" s="40">
        <v>0</v>
      </c>
      <c r="K65" s="40">
        <v>0</v>
      </c>
      <c r="L65" s="40">
        <f>SUMIFS('Trial balance_2020'!K:K,'Trial balance_2020'!B:B,C65)</f>
        <v>0</v>
      </c>
      <c r="M65" s="40">
        <f t="shared" si="4"/>
        <v>0</v>
      </c>
    </row>
    <row r="66" spans="1:16" x14ac:dyDescent="0.2">
      <c r="A66" s="4">
        <v>632300</v>
      </c>
      <c r="C66" s="38">
        <v>63271002</v>
      </c>
      <c r="D66" s="38" t="s">
        <v>750</v>
      </c>
      <c r="E66" s="39">
        <v>3388272321</v>
      </c>
      <c r="F66" s="39">
        <v>5611032714</v>
      </c>
      <c r="G66" s="39">
        <v>0</v>
      </c>
      <c r="H66" s="40">
        <v>0</v>
      </c>
      <c r="I66" s="40"/>
      <c r="J66" s="40">
        <v>0</v>
      </c>
      <c r="K66" s="40">
        <v>0</v>
      </c>
      <c r="L66" s="40">
        <f>SUMIFS('Trial balance_2020'!K:K,'Trial balance_2020'!B:B,C66)</f>
        <v>0</v>
      </c>
      <c r="M66" s="40">
        <f t="shared" si="4"/>
        <v>0</v>
      </c>
    </row>
    <row r="67" spans="1:16" x14ac:dyDescent="0.2">
      <c r="A67" s="4">
        <v>632300</v>
      </c>
      <c r="C67" s="38">
        <v>63271002</v>
      </c>
      <c r="D67" s="38" t="s">
        <v>750</v>
      </c>
      <c r="E67" s="39">
        <v>1073649607</v>
      </c>
      <c r="F67" s="39">
        <v>1610474406</v>
      </c>
      <c r="G67" s="39">
        <v>0</v>
      </c>
      <c r="H67" s="40">
        <v>0</v>
      </c>
      <c r="I67" s="40"/>
      <c r="J67" s="40">
        <v>0</v>
      </c>
      <c r="K67" s="40">
        <v>0</v>
      </c>
      <c r="L67" s="40">
        <f>SUMIFS('Trial balance_2020'!K:K,'Trial balance_2020'!B:B,C67)</f>
        <v>0</v>
      </c>
      <c r="M67" s="40">
        <f t="shared" si="4"/>
        <v>0</v>
      </c>
    </row>
    <row r="68" spans="1:16" x14ac:dyDescent="0.2">
      <c r="A68" s="4">
        <v>632300</v>
      </c>
      <c r="C68" s="38">
        <v>63271003</v>
      </c>
      <c r="D68" s="38" t="s">
        <v>751</v>
      </c>
      <c r="E68" s="39">
        <v>928208336</v>
      </c>
      <c r="F68" s="39">
        <v>1392312504</v>
      </c>
      <c r="G68" s="39">
        <v>0</v>
      </c>
      <c r="H68" s="40">
        <v>0</v>
      </c>
      <c r="I68" s="40"/>
      <c r="J68" s="40">
        <v>0</v>
      </c>
      <c r="K68" s="40">
        <v>0</v>
      </c>
      <c r="L68" s="40">
        <f>SUMIFS('Trial balance_2020'!K:K,'Trial balance_2020'!B:B,C68)</f>
        <v>0</v>
      </c>
      <c r="M68" s="40">
        <f t="shared" si="4"/>
        <v>0</v>
      </c>
    </row>
    <row r="69" spans="1:16" x14ac:dyDescent="0.2">
      <c r="A69" s="4">
        <v>632300</v>
      </c>
      <c r="C69" s="38">
        <v>63271003</v>
      </c>
      <c r="D69" s="38" t="s">
        <v>751</v>
      </c>
      <c r="E69" s="39">
        <v>899649780</v>
      </c>
      <c r="F69" s="39">
        <v>1349474670</v>
      </c>
      <c r="G69" s="39">
        <v>0</v>
      </c>
      <c r="H69" s="40">
        <v>0</v>
      </c>
      <c r="I69" s="40"/>
      <c r="J69" s="40">
        <v>0</v>
      </c>
      <c r="K69" s="40">
        <v>0</v>
      </c>
      <c r="L69" s="40">
        <f>SUMIFS('Trial balance_2020'!K:K,'Trial balance_2020'!B:B,C69)</f>
        <v>0</v>
      </c>
      <c r="M69" s="40">
        <f t="shared" si="4"/>
        <v>0</v>
      </c>
    </row>
    <row r="70" spans="1:16" x14ac:dyDescent="0.2">
      <c r="A70" s="4">
        <v>632300</v>
      </c>
      <c r="C70" s="38">
        <v>63271999</v>
      </c>
      <c r="D70" s="38" t="s">
        <v>752</v>
      </c>
      <c r="E70" s="39">
        <v>87347464932</v>
      </c>
      <c r="F70" s="39">
        <v>160760838259</v>
      </c>
      <c r="G70" s="39">
        <v>87451852257</v>
      </c>
      <c r="H70" s="40">
        <f>VLOOKUP(C70,'[6]TB Land 31122016'!$A$3:$H$72,8,0)</f>
        <v>174601493374</v>
      </c>
      <c r="I70" s="40">
        <v>173152148449</v>
      </c>
      <c r="J70" s="40">
        <v>173391531094</v>
      </c>
      <c r="K70" s="40">
        <v>173962271110</v>
      </c>
      <c r="L70" s="40">
        <f>SUMIFS('Trial balance_2020'!K:K,'Trial balance_2020'!B:B,C70)</f>
        <v>174065761209</v>
      </c>
      <c r="M70" s="40">
        <f t="shared" si="4"/>
        <v>174065761209</v>
      </c>
    </row>
    <row r="71" spans="1:16" x14ac:dyDescent="0.2">
      <c r="A71" s="4">
        <v>515600</v>
      </c>
      <c r="C71" s="38">
        <v>51510001</v>
      </c>
      <c r="D71" s="38" t="s">
        <v>753</v>
      </c>
      <c r="F71" s="39">
        <v>-22205710</v>
      </c>
      <c r="G71" s="39">
        <v>0</v>
      </c>
      <c r="H71" s="40">
        <v>0</v>
      </c>
      <c r="I71" s="40">
        <v>-918384</v>
      </c>
      <c r="J71" s="40">
        <v>-264925</v>
      </c>
      <c r="K71" s="40">
        <v>-246551</v>
      </c>
      <c r="L71" s="40">
        <f>SUMIFS('Trial balance_2020'!K:K,'Trial balance_2020'!B:B,C71)</f>
        <v>-131691</v>
      </c>
      <c r="M71" s="40">
        <f t="shared" si="4"/>
        <v>-131691</v>
      </c>
    </row>
    <row r="72" spans="1:16" x14ac:dyDescent="0.2">
      <c r="A72" s="4">
        <v>635100</v>
      </c>
      <c r="C72" s="38">
        <v>63510001</v>
      </c>
      <c r="D72" s="38" t="s">
        <v>754</v>
      </c>
      <c r="E72" s="39">
        <v>144498667772</v>
      </c>
      <c r="F72" s="39">
        <v>286411642868</v>
      </c>
      <c r="G72" s="39">
        <v>20562120483</v>
      </c>
      <c r="H72" s="40">
        <f>VLOOKUP(C72,'[6]TB Land 31122016'!$A$3:$H$72,8,0)</f>
        <v>20562120483</v>
      </c>
      <c r="I72" s="40"/>
      <c r="J72" s="40">
        <v>0</v>
      </c>
      <c r="K72" s="40">
        <v>0</v>
      </c>
      <c r="L72" s="40">
        <f>SUMIFS('Trial balance_2020'!K:K,'Trial balance_2020'!B:B,C72)</f>
        <v>0</v>
      </c>
      <c r="M72" s="40">
        <f>P72*M8</f>
        <v>1200000000</v>
      </c>
      <c r="O72" s="4" t="s">
        <v>989</v>
      </c>
      <c r="P72" s="391">
        <v>0.08</v>
      </c>
    </row>
    <row r="73" spans="1:16" x14ac:dyDescent="0.2">
      <c r="A73" s="4">
        <v>635100</v>
      </c>
      <c r="C73" s="38">
        <v>63510001</v>
      </c>
      <c r="D73" s="38" t="s">
        <v>754</v>
      </c>
      <c r="E73" s="39">
        <v>5898409670</v>
      </c>
      <c r="F73" s="39">
        <v>8770843976</v>
      </c>
      <c r="G73" s="39">
        <v>0</v>
      </c>
      <c r="H73" s="40">
        <v>0</v>
      </c>
      <c r="I73" s="40"/>
      <c r="J73" s="40">
        <v>0</v>
      </c>
      <c r="K73" s="40">
        <v>0</v>
      </c>
      <c r="L73" s="40">
        <f>SUMIFS('Trial balance_2020'!K:K,'Trial balance_2020'!B:B,C73)</f>
        <v>0</v>
      </c>
      <c r="M73" s="40">
        <f t="shared" si="4"/>
        <v>0</v>
      </c>
    </row>
    <row r="74" spans="1:16" x14ac:dyDescent="0.2">
      <c r="A74" s="4">
        <v>635200</v>
      </c>
      <c r="C74" s="38">
        <v>63540001</v>
      </c>
      <c r="D74" s="38" t="s">
        <v>755</v>
      </c>
      <c r="F74" s="39">
        <v>160348240295</v>
      </c>
      <c r="G74" s="39">
        <v>0</v>
      </c>
      <c r="H74" s="40">
        <v>0</v>
      </c>
      <c r="I74" s="40"/>
      <c r="J74" s="40">
        <v>0</v>
      </c>
      <c r="K74" s="40">
        <v>0</v>
      </c>
      <c r="L74" s="40">
        <f>SUMIFS('Trial balance_2020'!K:K,'Trial balance_2020'!B:B,C74)</f>
        <v>0</v>
      </c>
      <c r="M74" s="40">
        <f t="shared" si="4"/>
        <v>0</v>
      </c>
    </row>
    <row r="75" spans="1:16" x14ac:dyDescent="0.2">
      <c r="A75" s="4">
        <v>635200</v>
      </c>
      <c r="C75" s="38">
        <v>63540001</v>
      </c>
      <c r="D75" s="38" t="s">
        <v>755</v>
      </c>
      <c r="F75" s="39">
        <v>568800000</v>
      </c>
      <c r="G75" s="39">
        <v>0</v>
      </c>
      <c r="H75" s="40">
        <v>0</v>
      </c>
      <c r="I75" s="40"/>
      <c r="J75" s="40">
        <v>0</v>
      </c>
      <c r="K75" s="40">
        <v>0</v>
      </c>
      <c r="L75" s="40">
        <f>SUMIFS('Trial balance_2020'!K:K,'Trial balance_2020'!B:B,C75)</f>
        <v>0</v>
      </c>
      <c r="M75" s="40">
        <f t="shared" si="4"/>
        <v>0</v>
      </c>
    </row>
    <row r="76" spans="1:16" x14ac:dyDescent="0.2">
      <c r="A76" s="4">
        <v>635600</v>
      </c>
      <c r="C76" s="38">
        <v>63570001</v>
      </c>
      <c r="D76" s="38" t="s">
        <v>756</v>
      </c>
      <c r="F76" s="39">
        <v>2224129559</v>
      </c>
      <c r="G76" s="39">
        <v>156334774</v>
      </c>
      <c r="H76" s="40">
        <f>VLOOKUP(C76,'[6]TB Land 31122016'!$A$3:$H$72,8,0)</f>
        <v>156334774</v>
      </c>
      <c r="I76" s="40"/>
      <c r="J76" s="40">
        <v>0</v>
      </c>
      <c r="K76" s="40">
        <v>0</v>
      </c>
      <c r="L76" s="40">
        <f>SUMIFS('Trial balance_2020'!K:K,'Trial balance_2020'!B:B,C76)</f>
        <v>0</v>
      </c>
      <c r="M76" s="40">
        <f t="shared" si="4"/>
        <v>0</v>
      </c>
    </row>
    <row r="77" spans="1:16" x14ac:dyDescent="0.2">
      <c r="A77" s="4">
        <v>642700</v>
      </c>
      <c r="C77" s="38">
        <v>64260003</v>
      </c>
      <c r="D77" s="38" t="s">
        <v>757</v>
      </c>
      <c r="E77" s="39">
        <v>24000000</v>
      </c>
      <c r="F77" s="39">
        <v>40000000</v>
      </c>
      <c r="G77" s="39">
        <v>0</v>
      </c>
      <c r="H77" s="40">
        <f>VLOOKUP(C77,'[6]TB Land 31122016'!$A$3:$H$72,8,0)</f>
        <v>40000000</v>
      </c>
      <c r="I77" s="40">
        <v>51000000</v>
      </c>
      <c r="J77" s="40">
        <v>86000000</v>
      </c>
      <c r="K77" s="40">
        <v>87000000</v>
      </c>
      <c r="L77" s="40">
        <f>SUMIFS('Trial balance_2020'!K:K,'Trial balance_2020'!B:B,C77)</f>
        <v>87000000</v>
      </c>
      <c r="M77" s="40">
        <f t="shared" si="4"/>
        <v>87000000</v>
      </c>
    </row>
    <row r="78" spans="1:16" x14ac:dyDescent="0.2">
      <c r="A78" s="4">
        <v>642700</v>
      </c>
      <c r="C78" s="38">
        <v>64260004</v>
      </c>
      <c r="D78" s="38" t="s">
        <v>758</v>
      </c>
      <c r="E78" s="39">
        <v>1127000</v>
      </c>
      <c r="F78" s="39">
        <v>23637754</v>
      </c>
      <c r="G78" s="39">
        <v>0</v>
      </c>
      <c r="H78" s="40">
        <v>0</v>
      </c>
      <c r="I78" s="40">
        <v>93699184</v>
      </c>
      <c r="J78" s="40">
        <v>115189440</v>
      </c>
      <c r="K78" s="40">
        <v>295014845</v>
      </c>
      <c r="L78" s="40">
        <f>SUMIFS('Trial balance_2020'!K:K,'Trial balance_2020'!B:B,C78)</f>
        <v>5022354048</v>
      </c>
      <c r="M78" s="40">
        <f t="shared" si="4"/>
        <v>5022354048</v>
      </c>
    </row>
    <row r="79" spans="1:16" x14ac:dyDescent="0.2">
      <c r="A79" s="4">
        <v>642700</v>
      </c>
      <c r="C79" s="38" t="s">
        <v>973</v>
      </c>
      <c r="E79" s="39">
        <v>1127000</v>
      </c>
      <c r="F79" s="39">
        <v>23637754</v>
      </c>
      <c r="G79" s="39">
        <v>0</v>
      </c>
      <c r="H79" s="40">
        <v>0</v>
      </c>
      <c r="I79" s="40">
        <v>93699184</v>
      </c>
      <c r="J79" s="40">
        <v>115189440</v>
      </c>
      <c r="K79" s="40">
        <v>295014845</v>
      </c>
      <c r="L79" s="40">
        <f>SUMIFS('Trial balance_2020'!K:K,'Trial balance_2020'!B:B,C79)</f>
        <v>1045454</v>
      </c>
      <c r="M79" s="40">
        <f t="shared" si="4"/>
        <v>1045454</v>
      </c>
    </row>
    <row r="80" spans="1:16" x14ac:dyDescent="0.2">
      <c r="A80" s="4">
        <v>642700</v>
      </c>
      <c r="C80" s="38">
        <v>64260007</v>
      </c>
      <c r="D80" s="38" t="s">
        <v>759</v>
      </c>
      <c r="F80" s="39">
        <v>3160000</v>
      </c>
      <c r="G80" s="39">
        <v>0</v>
      </c>
      <c r="H80" s="40">
        <v>0</v>
      </c>
      <c r="I80" s="40">
        <v>1793500</v>
      </c>
      <c r="J80" s="40">
        <v>4991500</v>
      </c>
      <c r="K80" s="40">
        <v>22000</v>
      </c>
      <c r="L80" s="40">
        <f>SUMIFS('Trial balance_2020'!K:K,'Trial balance_2020'!B:B,C80)</f>
        <v>0</v>
      </c>
      <c r="M80" s="40">
        <f t="shared" si="4"/>
        <v>0</v>
      </c>
    </row>
    <row r="81" spans="1:15" x14ac:dyDescent="0.2">
      <c r="A81" s="4">
        <v>642700</v>
      </c>
      <c r="C81" s="38">
        <v>64260007</v>
      </c>
      <c r="D81" s="38" t="s">
        <v>759</v>
      </c>
      <c r="F81" s="39">
        <v>52027766</v>
      </c>
      <c r="G81" s="39">
        <v>165000</v>
      </c>
      <c r="H81" s="40">
        <f>VLOOKUP(C81,'[6]TB Land 31122016'!$A$3:$H$72,8,0)</f>
        <v>320734</v>
      </c>
      <c r="I81" s="40">
        <v>1793500</v>
      </c>
      <c r="J81" s="40">
        <v>0</v>
      </c>
      <c r="K81" s="40">
        <v>0</v>
      </c>
      <c r="L81" s="40">
        <f>SUMIFS('Trial balance_2020'!K:K,'Trial balance_2020'!B:B,C81)</f>
        <v>0</v>
      </c>
      <c r="M81" s="40">
        <f t="shared" si="4"/>
        <v>0</v>
      </c>
    </row>
    <row r="82" spans="1:15" x14ac:dyDescent="0.2">
      <c r="A82" s="4">
        <v>642800</v>
      </c>
      <c r="C82" s="38">
        <v>64270001</v>
      </c>
      <c r="D82" s="38" t="s">
        <v>760</v>
      </c>
      <c r="E82" s="39">
        <v>4620590</v>
      </c>
      <c r="F82" s="39">
        <v>6930885</v>
      </c>
      <c r="G82" s="39">
        <v>0</v>
      </c>
      <c r="H82" s="40">
        <v>0</v>
      </c>
      <c r="I82" s="40"/>
      <c r="J82" s="40">
        <v>0</v>
      </c>
      <c r="K82" s="40">
        <v>0</v>
      </c>
      <c r="L82" s="40">
        <f>SUMIFS('Trial balance_2020'!K:K,'Trial balance_2020'!B:B,C82)</f>
        <v>0</v>
      </c>
      <c r="M82" s="40">
        <f t="shared" si="4"/>
        <v>0</v>
      </c>
    </row>
    <row r="83" spans="1:15" x14ac:dyDescent="0.2">
      <c r="A83" s="4">
        <v>711100</v>
      </c>
      <c r="C83" s="38">
        <v>71110001</v>
      </c>
      <c r="D83" s="38" t="s">
        <v>761</v>
      </c>
      <c r="F83" s="39">
        <v>-727929818182</v>
      </c>
      <c r="G83" s="39">
        <v>0</v>
      </c>
      <c r="H83" s="40">
        <v>0</v>
      </c>
      <c r="I83" s="40"/>
      <c r="J83" s="40">
        <v>0</v>
      </c>
      <c r="K83" s="40">
        <v>0</v>
      </c>
      <c r="L83" s="40">
        <f>SUMIFS('Trial balance_2020'!K:K,'Trial balance_2020'!B:B,C83)</f>
        <v>0</v>
      </c>
      <c r="M83" s="40">
        <f t="shared" si="4"/>
        <v>0</v>
      </c>
    </row>
    <row r="84" spans="1:15" x14ac:dyDescent="0.2">
      <c r="A84" s="4">
        <v>711100</v>
      </c>
      <c r="C84" s="38">
        <v>71110001</v>
      </c>
      <c r="D84" s="38" t="s">
        <v>761</v>
      </c>
      <c r="F84" s="39">
        <v>-3236920750</v>
      </c>
      <c r="G84" s="39">
        <v>0</v>
      </c>
      <c r="H84" s="40">
        <v>0</v>
      </c>
      <c r="I84" s="40"/>
      <c r="J84" s="40">
        <v>0</v>
      </c>
      <c r="K84" s="40">
        <v>0</v>
      </c>
      <c r="L84" s="40">
        <f>SUMIFS('Trial balance_2020'!K:K,'Trial balance_2020'!B:B,C84)</f>
        <v>0</v>
      </c>
      <c r="M84" s="40">
        <f t="shared" si="4"/>
        <v>0</v>
      </c>
    </row>
    <row r="85" spans="1:15" x14ac:dyDescent="0.2">
      <c r="A85" s="4">
        <v>811100</v>
      </c>
      <c r="C85" s="38">
        <v>81120001</v>
      </c>
      <c r="D85" s="38" t="s">
        <v>762</v>
      </c>
      <c r="F85" s="39">
        <v>269701244689</v>
      </c>
      <c r="G85" s="39">
        <v>0</v>
      </c>
      <c r="H85" s="40">
        <v>0</v>
      </c>
      <c r="I85" s="40"/>
      <c r="J85" s="40">
        <v>0</v>
      </c>
      <c r="K85" s="40">
        <v>0</v>
      </c>
      <c r="L85" s="40">
        <f>SUMIFS('Trial balance_2020'!K:K,'Trial balance_2020'!B:B,C85)</f>
        <v>0</v>
      </c>
      <c r="M85" s="40">
        <f t="shared" si="4"/>
        <v>0</v>
      </c>
    </row>
    <row r="86" spans="1:15" x14ac:dyDescent="0.2">
      <c r="A86" s="4">
        <v>821100</v>
      </c>
      <c r="C86" s="38">
        <v>82110001</v>
      </c>
      <c r="D86" s="38" t="s">
        <v>763</v>
      </c>
      <c r="F86" s="39">
        <v>100810286168</v>
      </c>
      <c r="G86" s="39">
        <v>0</v>
      </c>
      <c r="H86" s="40">
        <v>0</v>
      </c>
      <c r="I86" s="40"/>
      <c r="J86" s="40">
        <v>0</v>
      </c>
      <c r="K86" s="40">
        <v>0</v>
      </c>
      <c r="L86" s="40">
        <f>SUMIFS('Trial balance_2020'!K:K,'Trial balance_2020'!B:B,C86)</f>
        <v>0</v>
      </c>
      <c r="M86" s="40">
        <v>6058127530</v>
      </c>
      <c r="O86" s="4" t="s">
        <v>989</v>
      </c>
    </row>
    <row r="87" spans="1:15" x14ac:dyDescent="0.2">
      <c r="A87" s="4">
        <v>632300</v>
      </c>
      <c r="C87" s="38">
        <v>64260007</v>
      </c>
      <c r="D87" s="38" t="s">
        <v>799</v>
      </c>
      <c r="J87" s="4">
        <v>0</v>
      </c>
      <c r="K87" s="40">
        <v>0</v>
      </c>
      <c r="L87" s="40">
        <f>SUMIFS('Trial balance_2020'!K:K,'Trial balance_2020'!B:B,C87)</f>
        <v>0</v>
      </c>
      <c r="M87" s="40">
        <f t="shared" si="4"/>
        <v>0</v>
      </c>
    </row>
    <row r="88" spans="1:15" x14ac:dyDescent="0.2">
      <c r="A88" s="4">
        <v>711200</v>
      </c>
      <c r="C88" s="38">
        <v>71179999</v>
      </c>
      <c r="D88" s="38" t="s">
        <v>800</v>
      </c>
      <c r="J88" s="4">
        <v>-10165166</v>
      </c>
      <c r="K88" s="40">
        <v>0</v>
      </c>
      <c r="L88" s="40">
        <f>SUMIFS('Trial balance_2020'!K:K,'Trial balance_2020'!B:B,C88)</f>
        <v>0</v>
      </c>
      <c r="M88" s="40">
        <f t="shared" si="4"/>
        <v>0</v>
      </c>
    </row>
  </sheetData>
  <autoFilter ref="A3:L88"/>
  <customSheetViews>
    <customSheetView guid="{7D77170C-09CD-4EEC-BB83-B3AA6C853D06}" showAutoFilter="1" hiddenColumns="1">
      <pane xSplit="1" ySplit="83" topLeftCell="B87" activePane="bottomRight" state="frozen"/>
      <selection pane="bottomRight" activeCell="C5" sqref="C5"/>
      <pageMargins left="0.7" right="0.7" top="0.75" bottom="0.75" header="0.3" footer="0.3"/>
      <pageSetup orientation="portrait" r:id="rId1"/>
      <autoFilter ref="A3:V358"/>
    </customSheetView>
    <customSheetView guid="{A802F8BE-E184-4275-8F47-F417811C9A4E}" filter="1" showAutoFilter="1">
      <pane xSplit="1" ySplit="88" topLeftCell="B90" activePane="bottomRight" state="frozen"/>
      <selection pane="bottomRight" activeCell="F147" sqref="F147"/>
      <pageMargins left="0.7" right="0.7" top="0.75" bottom="0.75" header="0.3" footer="0.3"/>
      <pageSetup orientation="portrait" r:id="rId2"/>
      <autoFilter ref="A3:F491">
        <filterColumn colId="2">
          <filters>
            <filter val="214210"/>
            <filter val="214211"/>
            <filter val="242100"/>
            <filter val="334210"/>
            <filter val="421100"/>
            <filter val="421110"/>
            <filter val="421120"/>
            <filter val="642100"/>
            <filter val="642110"/>
            <filter val="642120"/>
            <filter val="642140"/>
            <filter val="642150"/>
            <filter val="642160"/>
            <filter val="642170"/>
            <filter val="642180"/>
            <filter val="642190"/>
          </filters>
        </filterColumn>
      </autoFilter>
    </customSheetView>
    <customSheetView guid="{0796A30C-2FFF-4A21-B2AE-A5991690F213}" filter="1" showAutoFilter="1">
      <pane xSplit="1" ySplit="88" topLeftCell="B90" activePane="bottomRight" state="frozen"/>
      <selection pane="bottomRight" activeCell="F147" sqref="F147"/>
      <pageMargins left="0.7" right="0.7" top="0.75" bottom="0.75" header="0.3" footer="0.3"/>
      <pageSetup orientation="portrait" r:id="rId3"/>
      <autoFilter ref="A3:F491">
        <filterColumn colId="2">
          <filters>
            <filter val="214210"/>
            <filter val="214211"/>
            <filter val="242100"/>
            <filter val="334210"/>
            <filter val="421100"/>
            <filter val="421110"/>
            <filter val="421120"/>
            <filter val="642100"/>
            <filter val="642110"/>
            <filter val="642120"/>
            <filter val="642140"/>
            <filter val="642150"/>
            <filter val="642160"/>
            <filter val="642170"/>
            <filter val="642180"/>
            <filter val="642190"/>
          </filters>
        </filterColumn>
      </autoFilter>
    </customSheetView>
    <customSheetView guid="{4E825B2D-08AF-434A-8916-FE9D1F47F8D7}" showAutoFilter="1">
      <pane xSplit="1" ySplit="86" topLeftCell="B118" activePane="bottomRight" state="frozen"/>
      <selection pane="bottomRight" activeCell="F147" sqref="F147"/>
      <pageMargins left="0.7" right="0.7" top="0.75" bottom="0.75" header="0.3" footer="0.3"/>
      <pageSetup orientation="portrait" r:id="rId4"/>
      <autoFilter ref="A3:V358"/>
    </customSheetView>
    <customSheetView guid="{A3D7BE5A-A938-4021-A801-1DAF67AB037C}" filter="1" showAutoFilter="1" hiddenColumns="1">
      <pane xSplit="1" ySplit="86" topLeftCell="C89" activePane="bottomRight" state="frozen"/>
      <selection pane="bottomRight" activeCell="R319" sqref="R319"/>
      <pageMargins left="0.7" right="0.7" top="0.75" bottom="0.75" header="0.3" footer="0.3"/>
      <pageSetup orientation="portrait" r:id="rId5"/>
      <autoFilter ref="A3:V358">
        <filterColumn colId="0">
          <filters>
            <filter val="136002"/>
          </filters>
        </filterColumn>
        <filterColumn colId="17">
          <filters blank="1">
            <filter val="11,567,377,820"/>
            <filter val="12,252,900"/>
            <filter val="13,073,106"/>
            <filter val="188,755,490"/>
            <filter val="2,970,000"/>
            <filter val="58,966,680"/>
          </filters>
        </filterColumn>
      </autoFilter>
    </customSheetView>
    <customSheetView guid="{431ED707-2363-4119-8E0B-F4208B03A2D2}" filter="1" showAutoFilter="1" hiddenColumns="1">
      <selection activeCell="W34" sqref="W34"/>
      <pageMargins left="0.7" right="0.7" top="0.75" bottom="0.75" header="0.3" footer="0.3"/>
      <pageSetup orientation="portrait" r:id="rId6"/>
      <autoFilter ref="A3:V358">
        <filterColumn colId="0">
          <filters>
            <filter val="319002"/>
            <filter val="319003"/>
          </filters>
        </filterColumn>
      </autoFilter>
    </customSheetView>
  </customSheetViews>
  <pageMargins left="0.7" right="0.7" top="0.75" bottom="0.75" header="0.3" footer="0.3"/>
  <pageSetup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Q387"/>
  <sheetViews>
    <sheetView showGridLines="0" zoomScale="175" zoomScaleNormal="175" workbookViewId="0">
      <pane xSplit="15" ySplit="5" topLeftCell="P6" activePane="bottomRight" state="frozen"/>
      <selection pane="topRight" activeCell="P1" sqref="P1"/>
      <selection pane="bottomLeft" activeCell="A6" sqref="A6"/>
      <selection pane="bottomRight" activeCell="M6" sqref="M6"/>
    </sheetView>
  </sheetViews>
  <sheetFormatPr defaultColWidth="9.140625" defaultRowHeight="12" outlineLevelCol="1" x14ac:dyDescent="0.2"/>
  <cols>
    <col min="1" max="1" width="9.42578125" style="68" bestFit="1" customWidth="1"/>
    <col min="2" max="2" width="6.42578125" style="68" customWidth="1"/>
    <col min="3" max="3" width="9.5703125" style="68" customWidth="1"/>
    <col min="4" max="4" width="36.85546875" style="68" customWidth="1"/>
    <col min="5" max="5" width="34.28515625" style="68" hidden="1" customWidth="1"/>
    <col min="6" max="8" width="18.85546875" style="69" hidden="1" customWidth="1" outlineLevel="1"/>
    <col min="9" max="9" width="18.85546875" style="69" hidden="1" customWidth="1" collapsed="1"/>
    <col min="10" max="12" width="20.7109375" style="69" hidden="1" customWidth="1"/>
    <col min="13" max="14" width="20.7109375" style="69" customWidth="1"/>
    <col min="15" max="15" width="16.140625" style="89" bestFit="1" customWidth="1"/>
    <col min="16" max="16" width="9.140625" style="68"/>
    <col min="17" max="17" width="14.5703125" style="68" bestFit="1" customWidth="1"/>
    <col min="18" max="16384" width="9.140625" style="68"/>
  </cols>
  <sheetData>
    <row r="1" spans="1:15" x14ac:dyDescent="0.2">
      <c r="A1" s="70"/>
      <c r="B1" s="70"/>
    </row>
    <row r="2" spans="1:15" ht="12.75" thickBot="1" x14ac:dyDescent="0.25">
      <c r="F2" s="71" t="s">
        <v>802</v>
      </c>
      <c r="G2" s="71"/>
      <c r="H2" s="71"/>
      <c r="I2" s="71" t="s">
        <v>802</v>
      </c>
      <c r="J2" s="71" t="s">
        <v>802</v>
      </c>
      <c r="K2" s="72"/>
      <c r="L2" s="72"/>
      <c r="M2" s="71" t="str">
        <f>IF(M201=-M310,"Balance","To check")</f>
        <v>Balance</v>
      </c>
      <c r="N2" s="71" t="str">
        <f ca="1">IF(N201=-N310,"Balance","To check")</f>
        <v>Balance</v>
      </c>
    </row>
    <row r="3" spans="1:15" ht="12.75" thickBot="1" x14ac:dyDescent="0.25">
      <c r="F3" s="73"/>
      <c r="G3" s="73"/>
      <c r="H3" s="73"/>
      <c r="I3" s="73"/>
      <c r="J3" s="73"/>
      <c r="K3" s="73"/>
      <c r="L3" s="73"/>
      <c r="M3" s="74"/>
      <c r="N3" s="74"/>
    </row>
    <row r="4" spans="1:15" ht="24.75" thickBot="1" x14ac:dyDescent="0.25">
      <c r="A4" s="75" t="s">
        <v>326</v>
      </c>
      <c r="B4" s="75" t="s">
        <v>325</v>
      </c>
      <c r="C4" s="75" t="s">
        <v>0</v>
      </c>
      <c r="D4" s="75" t="s">
        <v>1</v>
      </c>
      <c r="E4" s="75" t="s">
        <v>2</v>
      </c>
      <c r="F4" s="76" t="s">
        <v>795</v>
      </c>
      <c r="G4" s="76" t="s">
        <v>787</v>
      </c>
      <c r="H4" s="76" t="s">
        <v>788</v>
      </c>
      <c r="I4" s="76" t="s">
        <v>796</v>
      </c>
      <c r="J4" s="76" t="s">
        <v>804</v>
      </c>
      <c r="K4" s="76" t="s">
        <v>787</v>
      </c>
      <c r="L4" s="76" t="s">
        <v>788</v>
      </c>
      <c r="M4" s="76" t="s">
        <v>805</v>
      </c>
      <c r="N4" s="76" t="s">
        <v>870</v>
      </c>
    </row>
    <row r="6" spans="1:15" x14ac:dyDescent="0.2">
      <c r="C6" s="70"/>
      <c r="D6" s="70" t="s">
        <v>448</v>
      </c>
      <c r="E6" s="70" t="s">
        <v>449</v>
      </c>
    </row>
    <row r="8" spans="1:15" x14ac:dyDescent="0.2">
      <c r="A8" s="68">
        <v>111001</v>
      </c>
      <c r="B8" s="77">
        <v>1111</v>
      </c>
      <c r="C8" s="77">
        <v>111</v>
      </c>
      <c r="D8" s="77" t="s">
        <v>241</v>
      </c>
      <c r="E8" s="77" t="s">
        <v>244</v>
      </c>
      <c r="F8" s="78">
        <v>1747061</v>
      </c>
      <c r="G8" s="78">
        <v>0</v>
      </c>
      <c r="H8" s="78">
        <v>0</v>
      </c>
      <c r="I8" s="78">
        <v>1747061</v>
      </c>
      <c r="J8" s="78">
        <v>12928744</v>
      </c>
      <c r="K8" s="78" t="e">
        <f>SUMIFS(#REF!,#REF!,MLS!A8)</f>
        <v>#REF!</v>
      </c>
      <c r="L8" s="78" t="e">
        <f>SUMIFS(#REF!,#REF!,MLS!A8)</f>
        <v>#REF!</v>
      </c>
      <c r="M8" s="78">
        <v>12928744</v>
      </c>
      <c r="N8" s="78">
        <f>ROUND(SUMIFS(TB_Convert!M:M,TB_Convert!A:A,A8),0)</f>
        <v>3928744</v>
      </c>
      <c r="O8" s="89" t="str">
        <f>IF(SUM(F8:J8)=0,"H","S")</f>
        <v>S</v>
      </c>
    </row>
    <row r="9" spans="1:15" x14ac:dyDescent="0.2">
      <c r="A9" s="68">
        <v>111002</v>
      </c>
      <c r="B9" s="77">
        <v>1112</v>
      </c>
      <c r="C9" s="77">
        <v>111</v>
      </c>
      <c r="D9" s="77" t="s">
        <v>242</v>
      </c>
      <c r="E9" s="77" t="s">
        <v>245</v>
      </c>
      <c r="F9" s="78">
        <v>0</v>
      </c>
      <c r="G9" s="78">
        <v>0</v>
      </c>
      <c r="H9" s="78">
        <v>0</v>
      </c>
      <c r="I9" s="78">
        <v>0</v>
      </c>
      <c r="J9" s="78">
        <v>0</v>
      </c>
      <c r="K9" s="78" t="e">
        <f>SUMIFS(#REF!,#REF!,MLS!A9)</f>
        <v>#REF!</v>
      </c>
      <c r="L9" s="78" t="e">
        <f>SUMIFS(#REF!,#REF!,MLS!A9)</f>
        <v>#REF!</v>
      </c>
      <c r="M9" s="78">
        <v>0</v>
      </c>
      <c r="N9" s="78">
        <f>ROUND(SUMIFS(TB_Convert!M:M,TB_Convert!A:A,A9),0)</f>
        <v>0</v>
      </c>
      <c r="O9" s="89" t="str">
        <f t="shared" ref="O9:O72" si="0">IF(SUM(F9:J9)=0,"H","S")</f>
        <v>H</v>
      </c>
    </row>
    <row r="10" spans="1:15" x14ac:dyDescent="0.2">
      <c r="A10" s="68">
        <v>111003</v>
      </c>
      <c r="B10" s="77">
        <v>1113</v>
      </c>
      <c r="C10" s="77">
        <v>111</v>
      </c>
      <c r="D10" s="77" t="s">
        <v>243</v>
      </c>
      <c r="E10" s="77" t="s">
        <v>246</v>
      </c>
      <c r="F10" s="78">
        <v>0</v>
      </c>
      <c r="G10" s="78">
        <v>0</v>
      </c>
      <c r="H10" s="78">
        <v>0</v>
      </c>
      <c r="I10" s="78">
        <v>0</v>
      </c>
      <c r="J10" s="78">
        <v>0</v>
      </c>
      <c r="K10" s="78" t="e">
        <f>SUMIFS(#REF!,#REF!,MLS!A10)</f>
        <v>#REF!</v>
      </c>
      <c r="L10" s="78" t="e">
        <f>SUMIFS(#REF!,#REF!,MLS!A10)</f>
        <v>#REF!</v>
      </c>
      <c r="M10" s="78">
        <v>0</v>
      </c>
      <c r="N10" s="78">
        <f>ROUND(SUMIFS(TB_Convert!M:M,TB_Convert!A:A,A10),0)</f>
        <v>0</v>
      </c>
      <c r="O10" s="89" t="str">
        <f t="shared" si="0"/>
        <v>H</v>
      </c>
    </row>
    <row r="11" spans="1:15" x14ac:dyDescent="0.2">
      <c r="A11" s="79"/>
      <c r="B11" s="80"/>
      <c r="C11" s="80"/>
      <c r="D11" s="80" t="s">
        <v>235</v>
      </c>
      <c r="E11" s="80" t="s">
        <v>238</v>
      </c>
      <c r="F11" s="81">
        <v>1747061</v>
      </c>
      <c r="G11" s="81">
        <v>0</v>
      </c>
      <c r="H11" s="81">
        <v>0</v>
      </c>
      <c r="I11" s="81">
        <v>1747061</v>
      </c>
      <c r="J11" s="81">
        <v>12928744</v>
      </c>
      <c r="K11" s="81" t="e">
        <f t="shared" ref="K11:M11" si="1">SUM(K8:K10)</f>
        <v>#REF!</v>
      </c>
      <c r="L11" s="81" t="e">
        <f t="shared" si="1"/>
        <v>#REF!</v>
      </c>
      <c r="M11" s="81">
        <v>12928744</v>
      </c>
      <c r="N11" s="81">
        <f t="shared" ref="N11" si="2">SUM(N8:N10)</f>
        <v>3928744</v>
      </c>
      <c r="O11" s="89" t="str">
        <f t="shared" si="0"/>
        <v>S</v>
      </c>
    </row>
    <row r="12" spans="1:15" x14ac:dyDescent="0.2">
      <c r="A12" s="68">
        <v>111004</v>
      </c>
      <c r="B12" s="77">
        <v>1121</v>
      </c>
      <c r="C12" s="77">
        <v>111</v>
      </c>
      <c r="D12" s="77" t="s">
        <v>241</v>
      </c>
      <c r="E12" s="77" t="s">
        <v>244</v>
      </c>
      <c r="F12" s="78">
        <v>214833337</v>
      </c>
      <c r="G12" s="78">
        <v>0</v>
      </c>
      <c r="H12" s="78">
        <v>0</v>
      </c>
      <c r="I12" s="78">
        <v>214833337</v>
      </c>
      <c r="J12" s="78">
        <v>38300807</v>
      </c>
      <c r="K12" s="78" t="e">
        <f>SUMIFS(#REF!,#REF!,MLS!A12)</f>
        <v>#REF!</v>
      </c>
      <c r="L12" s="78" t="e">
        <f>SUMIFS(#REF!,#REF!,MLS!A12)</f>
        <v>#REF!</v>
      </c>
      <c r="M12" s="78">
        <v>38300807</v>
      </c>
      <c r="N12" s="78">
        <f>ROUND(SUMIFS(TB_Convert!M:M,TB_Convert!A:A,A12),0)</f>
        <v>59783185862</v>
      </c>
      <c r="O12" s="89" t="str">
        <f t="shared" si="0"/>
        <v>S</v>
      </c>
    </row>
    <row r="13" spans="1:15" x14ac:dyDescent="0.2">
      <c r="A13" s="68">
        <v>111005</v>
      </c>
      <c r="B13" s="77">
        <v>1122</v>
      </c>
      <c r="C13" s="77">
        <v>111</v>
      </c>
      <c r="D13" s="77" t="s">
        <v>242</v>
      </c>
      <c r="E13" s="77" t="s">
        <v>245</v>
      </c>
      <c r="F13" s="78">
        <v>0</v>
      </c>
      <c r="G13" s="78">
        <v>0</v>
      </c>
      <c r="H13" s="78">
        <v>0</v>
      </c>
      <c r="I13" s="78">
        <v>0</v>
      </c>
      <c r="J13" s="78">
        <v>0</v>
      </c>
      <c r="K13" s="78" t="e">
        <f>SUMIFS(#REF!,#REF!,MLS!A13)</f>
        <v>#REF!</v>
      </c>
      <c r="L13" s="78" t="e">
        <f>SUMIFS(#REF!,#REF!,MLS!A13)</f>
        <v>#REF!</v>
      </c>
      <c r="M13" s="78">
        <v>0</v>
      </c>
      <c r="N13" s="78">
        <f>ROUND(SUMIFS(TB_Convert!M:M,TB_Convert!A:A,A13),0)</f>
        <v>0</v>
      </c>
      <c r="O13" s="89" t="str">
        <f t="shared" si="0"/>
        <v>H</v>
      </c>
    </row>
    <row r="14" spans="1:15" x14ac:dyDescent="0.2">
      <c r="A14" s="68">
        <v>111006</v>
      </c>
      <c r="B14" s="77">
        <v>1123</v>
      </c>
      <c r="C14" s="77">
        <v>111</v>
      </c>
      <c r="D14" s="77" t="s">
        <v>243</v>
      </c>
      <c r="E14" s="77" t="s">
        <v>246</v>
      </c>
      <c r="F14" s="78">
        <v>0</v>
      </c>
      <c r="G14" s="78">
        <v>0</v>
      </c>
      <c r="H14" s="78">
        <v>0</v>
      </c>
      <c r="I14" s="78">
        <v>0</v>
      </c>
      <c r="J14" s="78">
        <v>0</v>
      </c>
      <c r="K14" s="78" t="e">
        <f>SUMIFS(#REF!,#REF!,MLS!A14)</f>
        <v>#REF!</v>
      </c>
      <c r="L14" s="78" t="e">
        <f>SUMIFS(#REF!,#REF!,MLS!A14)</f>
        <v>#REF!</v>
      </c>
      <c r="M14" s="78">
        <v>0</v>
      </c>
      <c r="N14" s="78">
        <f>ROUND(SUMIFS(TB_Convert!M:M,TB_Convert!A:A,A14),0)</f>
        <v>0</v>
      </c>
      <c r="O14" s="89" t="str">
        <f t="shared" si="0"/>
        <v>H</v>
      </c>
    </row>
    <row r="15" spans="1:15" x14ac:dyDescent="0.2">
      <c r="A15" s="79"/>
      <c r="B15" s="80"/>
      <c r="C15" s="80"/>
      <c r="D15" s="80" t="s">
        <v>236</v>
      </c>
      <c r="E15" s="80" t="s">
        <v>239</v>
      </c>
      <c r="F15" s="81">
        <v>214833337</v>
      </c>
      <c r="G15" s="81">
        <v>0</v>
      </c>
      <c r="H15" s="81">
        <v>0</v>
      </c>
      <c r="I15" s="81">
        <v>214833337</v>
      </c>
      <c r="J15" s="81">
        <v>38300807</v>
      </c>
      <c r="K15" s="81" t="e">
        <f t="shared" ref="K15:M15" si="3">SUM(K12:K14)</f>
        <v>#REF!</v>
      </c>
      <c r="L15" s="81" t="e">
        <f t="shared" si="3"/>
        <v>#REF!</v>
      </c>
      <c r="M15" s="81">
        <v>38300807</v>
      </c>
      <c r="N15" s="81">
        <f t="shared" ref="N15" si="4">SUM(N12:N14)</f>
        <v>59783185862</v>
      </c>
      <c r="O15" s="89" t="str">
        <f t="shared" si="0"/>
        <v>S</v>
      </c>
    </row>
    <row r="16" spans="1:15" x14ac:dyDescent="0.2">
      <c r="A16" s="68">
        <v>111007</v>
      </c>
      <c r="B16" s="68">
        <v>1131</v>
      </c>
      <c r="C16" s="77">
        <v>111</v>
      </c>
      <c r="D16" s="77" t="s">
        <v>241</v>
      </c>
      <c r="E16" s="77" t="s">
        <v>244</v>
      </c>
      <c r="F16" s="78">
        <v>0</v>
      </c>
      <c r="G16" s="78">
        <v>0</v>
      </c>
      <c r="H16" s="78">
        <v>0</v>
      </c>
      <c r="I16" s="78">
        <v>0</v>
      </c>
      <c r="J16" s="78">
        <v>0</v>
      </c>
      <c r="K16" s="78" t="e">
        <f>SUMIFS(#REF!,#REF!,MLS!A16)</f>
        <v>#REF!</v>
      </c>
      <c r="L16" s="78" t="e">
        <f>SUMIFS(#REF!,#REF!,MLS!A16)</f>
        <v>#REF!</v>
      </c>
      <c r="M16" s="78">
        <v>0</v>
      </c>
      <c r="N16" s="78">
        <f>ROUND(SUMIFS(TB_Convert!M:M,TB_Convert!A:A,A16),0)</f>
        <v>0</v>
      </c>
      <c r="O16" s="89" t="str">
        <f t="shared" si="0"/>
        <v>H</v>
      </c>
    </row>
    <row r="17" spans="1:15" x14ac:dyDescent="0.2">
      <c r="A17" s="68">
        <v>111008</v>
      </c>
      <c r="B17" s="68">
        <v>1132</v>
      </c>
      <c r="C17" s="77">
        <v>111</v>
      </c>
      <c r="D17" s="77" t="s">
        <v>242</v>
      </c>
      <c r="E17" s="77" t="s">
        <v>245</v>
      </c>
      <c r="F17" s="78">
        <v>0</v>
      </c>
      <c r="G17" s="78">
        <v>0</v>
      </c>
      <c r="H17" s="78">
        <v>0</v>
      </c>
      <c r="I17" s="78">
        <v>0</v>
      </c>
      <c r="J17" s="78">
        <v>0</v>
      </c>
      <c r="K17" s="78" t="e">
        <f>SUMIFS(#REF!,#REF!,MLS!A17)</f>
        <v>#REF!</v>
      </c>
      <c r="L17" s="78" t="e">
        <f>SUMIFS(#REF!,#REF!,MLS!A17)</f>
        <v>#REF!</v>
      </c>
      <c r="M17" s="78">
        <v>0</v>
      </c>
      <c r="N17" s="78">
        <f>ROUND(SUMIFS(TB_Convert!M:M,TB_Convert!A:A,A17),0)</f>
        <v>0</v>
      </c>
      <c r="O17" s="89" t="str">
        <f t="shared" si="0"/>
        <v>H</v>
      </c>
    </row>
    <row r="18" spans="1:15" x14ac:dyDescent="0.2">
      <c r="A18" s="79"/>
      <c r="B18" s="80"/>
      <c r="C18" s="80"/>
      <c r="D18" s="80" t="s">
        <v>237</v>
      </c>
      <c r="E18" s="80" t="s">
        <v>240</v>
      </c>
      <c r="F18" s="81">
        <v>0</v>
      </c>
      <c r="G18" s="81">
        <v>0</v>
      </c>
      <c r="H18" s="81">
        <v>0</v>
      </c>
      <c r="I18" s="81">
        <v>0</v>
      </c>
      <c r="J18" s="81">
        <v>0</v>
      </c>
      <c r="K18" s="81" t="e">
        <f t="shared" ref="K18:M18" si="5">SUM(K16:K17)</f>
        <v>#REF!</v>
      </c>
      <c r="L18" s="81" t="e">
        <f t="shared" si="5"/>
        <v>#REF!</v>
      </c>
      <c r="M18" s="81">
        <v>0</v>
      </c>
      <c r="N18" s="81">
        <f t="shared" ref="N18" si="6">SUM(N16:N17)</f>
        <v>0</v>
      </c>
      <c r="O18" s="89" t="str">
        <f t="shared" si="0"/>
        <v>H</v>
      </c>
    </row>
    <row r="19" spans="1:15" x14ac:dyDescent="0.2">
      <c r="A19" s="82"/>
      <c r="B19" s="83"/>
      <c r="C19" s="83"/>
      <c r="D19" s="84" t="s">
        <v>4</v>
      </c>
      <c r="E19" s="84"/>
      <c r="F19" s="85">
        <v>216580398</v>
      </c>
      <c r="G19" s="85">
        <v>0</v>
      </c>
      <c r="H19" s="85">
        <v>0</v>
      </c>
      <c r="I19" s="85">
        <v>216580398</v>
      </c>
      <c r="J19" s="85">
        <v>51229551</v>
      </c>
      <c r="K19" s="85" t="e">
        <f t="shared" ref="K19:M19" si="7">K11+K15+K18</f>
        <v>#REF!</v>
      </c>
      <c r="L19" s="85" t="e">
        <f t="shared" si="7"/>
        <v>#REF!</v>
      </c>
      <c r="M19" s="85">
        <v>51229551</v>
      </c>
      <c r="N19" s="85">
        <f t="shared" ref="N19" si="8">N11+N15+N18</f>
        <v>59787114606</v>
      </c>
      <c r="O19" s="89" t="str">
        <f t="shared" si="0"/>
        <v>S</v>
      </c>
    </row>
    <row r="20" spans="1:15" s="89" customFormat="1" x14ac:dyDescent="0.2">
      <c r="A20" s="86">
        <v>112001</v>
      </c>
      <c r="B20" s="87">
        <v>1281</v>
      </c>
      <c r="C20" s="77">
        <v>112</v>
      </c>
      <c r="D20" s="87" t="s">
        <v>247</v>
      </c>
      <c r="E20" s="87" t="s">
        <v>248</v>
      </c>
      <c r="F20" s="88">
        <v>0</v>
      </c>
      <c r="G20" s="88">
        <v>0</v>
      </c>
      <c r="H20" s="88">
        <v>0</v>
      </c>
      <c r="I20" s="88">
        <v>0</v>
      </c>
      <c r="J20" s="88">
        <v>0</v>
      </c>
      <c r="K20" s="78" t="e">
        <f>SUMIFS(#REF!,#REF!,MLS!A20)</f>
        <v>#REF!</v>
      </c>
      <c r="L20" s="78" t="e">
        <f>SUMIFS(#REF!,#REF!,MLS!A20)</f>
        <v>#REF!</v>
      </c>
      <c r="M20" s="88">
        <v>0</v>
      </c>
      <c r="N20" s="88">
        <f>ROUND(SUMIFS(TB_Convert!M:M,TB_Convert!A:A,A20),0)</f>
        <v>0</v>
      </c>
      <c r="O20" s="89" t="str">
        <f t="shared" si="0"/>
        <v>H</v>
      </c>
    </row>
    <row r="21" spans="1:15" s="89" customFormat="1" x14ac:dyDescent="0.2">
      <c r="A21" s="86">
        <v>112002</v>
      </c>
      <c r="B21" s="87">
        <v>1288</v>
      </c>
      <c r="C21" s="77">
        <v>112</v>
      </c>
      <c r="D21" s="87" t="s">
        <v>249</v>
      </c>
      <c r="E21" s="87" t="s">
        <v>250</v>
      </c>
      <c r="F21" s="88">
        <v>0</v>
      </c>
      <c r="G21" s="88">
        <v>0</v>
      </c>
      <c r="H21" s="88">
        <v>0</v>
      </c>
      <c r="I21" s="88">
        <v>0</v>
      </c>
      <c r="J21" s="88">
        <v>0</v>
      </c>
      <c r="K21" s="78" t="e">
        <f>SUMIFS(#REF!,#REF!,MLS!A21)</f>
        <v>#REF!</v>
      </c>
      <c r="L21" s="78" t="e">
        <f>SUMIFS(#REF!,#REF!,MLS!A21)</f>
        <v>#REF!</v>
      </c>
      <c r="M21" s="88">
        <v>0</v>
      </c>
      <c r="N21" s="88">
        <f>ROUND(SUMIFS(TB_Convert!M:M,TB_Convert!A:A,A21),0)</f>
        <v>0</v>
      </c>
      <c r="O21" s="89" t="str">
        <f t="shared" si="0"/>
        <v>H</v>
      </c>
    </row>
    <row r="22" spans="1:15" x14ac:dyDescent="0.2">
      <c r="A22" s="90"/>
      <c r="B22" s="84"/>
      <c r="C22" s="84"/>
      <c r="D22" s="84" t="s">
        <v>5</v>
      </c>
      <c r="E22" s="84" t="s">
        <v>122</v>
      </c>
      <c r="F22" s="85">
        <v>0</v>
      </c>
      <c r="G22" s="85">
        <v>0</v>
      </c>
      <c r="H22" s="85">
        <v>0</v>
      </c>
      <c r="I22" s="85">
        <v>0</v>
      </c>
      <c r="J22" s="85">
        <v>0</v>
      </c>
      <c r="K22" s="85" t="e">
        <f t="shared" ref="K22:M22" si="9">SUM(K20:K21)</f>
        <v>#REF!</v>
      </c>
      <c r="L22" s="85" t="e">
        <f t="shared" si="9"/>
        <v>#REF!</v>
      </c>
      <c r="M22" s="85">
        <v>0</v>
      </c>
      <c r="N22" s="85">
        <f t="shared" ref="N22" si="10">SUM(N20:N21)</f>
        <v>0</v>
      </c>
      <c r="O22" s="89" t="str">
        <f t="shared" si="0"/>
        <v>H</v>
      </c>
    </row>
    <row r="23" spans="1:15" x14ac:dyDescent="0.2">
      <c r="A23" s="91"/>
      <c r="B23" s="92"/>
      <c r="C23" s="93">
        <v>110</v>
      </c>
      <c r="D23" s="93" t="s">
        <v>6</v>
      </c>
      <c r="E23" s="93" t="s">
        <v>120</v>
      </c>
      <c r="F23" s="94">
        <v>216580398</v>
      </c>
      <c r="G23" s="94">
        <v>0</v>
      </c>
      <c r="H23" s="94">
        <v>0</v>
      </c>
      <c r="I23" s="94">
        <v>216580398</v>
      </c>
      <c r="J23" s="94">
        <v>51229551</v>
      </c>
      <c r="K23" s="94" t="e">
        <f t="shared" ref="K23:M23" si="11">K19+K22</f>
        <v>#REF!</v>
      </c>
      <c r="L23" s="94" t="e">
        <f t="shared" si="11"/>
        <v>#REF!</v>
      </c>
      <c r="M23" s="94">
        <v>51229551</v>
      </c>
      <c r="N23" s="94">
        <f t="shared" ref="N23" si="12">N19+N22</f>
        <v>59787114606</v>
      </c>
      <c r="O23" s="89" t="str">
        <f t="shared" si="0"/>
        <v>S</v>
      </c>
    </row>
    <row r="24" spans="1:15" x14ac:dyDescent="0.2">
      <c r="A24" s="95">
        <v>121001</v>
      </c>
      <c r="B24" s="68">
        <v>1211</v>
      </c>
      <c r="C24" s="77">
        <v>121</v>
      </c>
      <c r="D24" s="77" t="s">
        <v>251</v>
      </c>
      <c r="E24" s="77" t="s">
        <v>252</v>
      </c>
      <c r="F24" s="78">
        <v>0</v>
      </c>
      <c r="G24" s="78">
        <v>0</v>
      </c>
      <c r="H24" s="78">
        <v>0</v>
      </c>
      <c r="I24" s="78">
        <v>0</v>
      </c>
      <c r="J24" s="78">
        <v>0</v>
      </c>
      <c r="K24" s="78" t="e">
        <f>SUMIFS(#REF!,#REF!,MLS!A24)</f>
        <v>#REF!</v>
      </c>
      <c r="L24" s="78" t="e">
        <f>SUMIFS(#REF!,#REF!,MLS!A24)</f>
        <v>#REF!</v>
      </c>
      <c r="M24" s="78">
        <v>0</v>
      </c>
      <c r="N24" s="78">
        <f>ROUND(SUMIFS(TB_Convert!M:M,TB_Convert!A:A,A24),0)</f>
        <v>0</v>
      </c>
      <c r="O24" s="89" t="str">
        <f t="shared" si="0"/>
        <v>H</v>
      </c>
    </row>
    <row r="25" spans="1:15" x14ac:dyDescent="0.2">
      <c r="A25" s="95">
        <v>121002</v>
      </c>
      <c r="B25" s="68">
        <v>1212</v>
      </c>
      <c r="C25" s="77">
        <v>121</v>
      </c>
      <c r="D25" s="77" t="s">
        <v>253</v>
      </c>
      <c r="E25" s="77" t="s">
        <v>254</v>
      </c>
      <c r="F25" s="78">
        <v>0</v>
      </c>
      <c r="G25" s="78">
        <v>0</v>
      </c>
      <c r="H25" s="78">
        <v>0</v>
      </c>
      <c r="I25" s="78">
        <v>0</v>
      </c>
      <c r="J25" s="78">
        <v>0</v>
      </c>
      <c r="K25" s="78" t="e">
        <f>SUMIFS(#REF!,#REF!,MLS!A25)</f>
        <v>#REF!</v>
      </c>
      <c r="L25" s="78" t="e">
        <f>SUMIFS(#REF!,#REF!,MLS!A25)</f>
        <v>#REF!</v>
      </c>
      <c r="M25" s="78">
        <v>0</v>
      </c>
      <c r="N25" s="78">
        <f>ROUND(SUMIFS(TB_Convert!M:M,TB_Convert!A:A,A25),0)</f>
        <v>0</v>
      </c>
      <c r="O25" s="89" t="str">
        <f t="shared" si="0"/>
        <v>H</v>
      </c>
    </row>
    <row r="26" spans="1:15" x14ac:dyDescent="0.2">
      <c r="A26" s="95">
        <v>121003</v>
      </c>
      <c r="B26" s="68">
        <v>1218</v>
      </c>
      <c r="C26" s="77">
        <v>121</v>
      </c>
      <c r="D26" s="77" t="s">
        <v>255</v>
      </c>
      <c r="E26" s="77" t="s">
        <v>256</v>
      </c>
      <c r="F26" s="78">
        <v>0</v>
      </c>
      <c r="G26" s="78">
        <v>0</v>
      </c>
      <c r="H26" s="78">
        <v>0</v>
      </c>
      <c r="I26" s="78">
        <v>0</v>
      </c>
      <c r="J26" s="78">
        <v>0</v>
      </c>
      <c r="K26" s="78" t="e">
        <f>SUMIFS(#REF!,#REF!,MLS!A26)</f>
        <v>#REF!</v>
      </c>
      <c r="L26" s="78" t="e">
        <f>SUMIFS(#REF!,#REF!,MLS!A26)</f>
        <v>#REF!</v>
      </c>
      <c r="M26" s="78">
        <v>0</v>
      </c>
      <c r="N26" s="78">
        <f>ROUND(SUMIFS(TB_Convert!M:M,TB_Convert!A:A,A26),0)</f>
        <v>0</v>
      </c>
      <c r="O26" s="89" t="str">
        <f t="shared" si="0"/>
        <v>H</v>
      </c>
    </row>
    <row r="27" spans="1:15" x14ac:dyDescent="0.2">
      <c r="A27" s="79"/>
      <c r="B27" s="80"/>
      <c r="C27" s="80"/>
      <c r="D27" s="80" t="s">
        <v>8</v>
      </c>
      <c r="E27" s="80" t="s">
        <v>124</v>
      </c>
      <c r="F27" s="81">
        <v>0</v>
      </c>
      <c r="G27" s="81">
        <v>0</v>
      </c>
      <c r="H27" s="81">
        <v>0</v>
      </c>
      <c r="I27" s="81">
        <v>0</v>
      </c>
      <c r="J27" s="81">
        <v>0</v>
      </c>
      <c r="K27" s="81" t="e">
        <f t="shared" ref="K27:M27" si="13">SUM(K24:K26)</f>
        <v>#REF!</v>
      </c>
      <c r="L27" s="81" t="e">
        <f t="shared" si="13"/>
        <v>#REF!</v>
      </c>
      <c r="M27" s="81">
        <v>0</v>
      </c>
      <c r="N27" s="81">
        <f t="shared" ref="N27" si="14">SUM(N24:N26)</f>
        <v>0</v>
      </c>
      <c r="O27" s="89" t="str">
        <f t="shared" si="0"/>
        <v>H</v>
      </c>
    </row>
    <row r="28" spans="1:15" x14ac:dyDescent="0.2">
      <c r="A28" s="79">
        <v>122001</v>
      </c>
      <c r="B28" s="80">
        <v>2291</v>
      </c>
      <c r="C28" s="80">
        <v>122</v>
      </c>
      <c r="D28" s="80" t="s">
        <v>9</v>
      </c>
      <c r="E28" s="80" t="s">
        <v>125</v>
      </c>
      <c r="F28" s="81">
        <v>0</v>
      </c>
      <c r="G28" s="81">
        <v>0</v>
      </c>
      <c r="H28" s="81">
        <v>0</v>
      </c>
      <c r="I28" s="81">
        <v>0</v>
      </c>
      <c r="J28" s="81">
        <v>0</v>
      </c>
      <c r="K28" s="338" t="e">
        <f>SUMIFS(#REF!,#REF!,MLS!A28)</f>
        <v>#REF!</v>
      </c>
      <c r="L28" s="338" t="e">
        <f>SUMIFS(#REF!,#REF!,MLS!A28)</f>
        <v>#REF!</v>
      </c>
      <c r="M28" s="81">
        <v>0</v>
      </c>
      <c r="N28" s="81">
        <f ca="1">SUMIF(TB_Convert!$A$4:$K$86,MLS!E28,TB_Convert!$K$4:$K$86)</f>
        <v>0</v>
      </c>
      <c r="O28" s="89" t="str">
        <f t="shared" si="0"/>
        <v>H</v>
      </c>
    </row>
    <row r="29" spans="1:15" x14ac:dyDescent="0.2">
      <c r="A29" s="95">
        <v>123001</v>
      </c>
      <c r="B29" s="96">
        <v>1281</v>
      </c>
      <c r="C29" s="77">
        <v>123</v>
      </c>
      <c r="D29" s="77" t="s">
        <v>247</v>
      </c>
      <c r="E29" s="77" t="s">
        <v>248</v>
      </c>
      <c r="F29" s="78">
        <v>0</v>
      </c>
      <c r="G29" s="78">
        <v>0</v>
      </c>
      <c r="H29" s="78">
        <v>0</v>
      </c>
      <c r="I29" s="78">
        <v>0</v>
      </c>
      <c r="J29" s="78">
        <v>0</v>
      </c>
      <c r="K29" s="78" t="e">
        <f>SUMIFS(#REF!,#REF!,MLS!A29)</f>
        <v>#REF!</v>
      </c>
      <c r="L29" s="78" t="e">
        <f>SUMIFS(#REF!,#REF!,MLS!A29)</f>
        <v>#REF!</v>
      </c>
      <c r="M29" s="78">
        <v>0</v>
      </c>
      <c r="N29" s="78">
        <f>ROUND(SUMIFS(TB_Convert!M:M,TB_Convert!A:A,A29),0)</f>
        <v>0</v>
      </c>
      <c r="O29" s="89" t="str">
        <f t="shared" si="0"/>
        <v>H</v>
      </c>
    </row>
    <row r="30" spans="1:15" x14ac:dyDescent="0.2">
      <c r="A30" s="95">
        <v>123002</v>
      </c>
      <c r="B30" s="77">
        <v>1282</v>
      </c>
      <c r="C30" s="77">
        <v>123</v>
      </c>
      <c r="D30" s="77" t="s">
        <v>253</v>
      </c>
      <c r="E30" s="77" t="s">
        <v>254</v>
      </c>
      <c r="F30" s="78">
        <v>0</v>
      </c>
      <c r="G30" s="78">
        <v>0</v>
      </c>
      <c r="H30" s="78">
        <v>0</v>
      </c>
      <c r="I30" s="78">
        <v>0</v>
      </c>
      <c r="J30" s="78">
        <v>0</v>
      </c>
      <c r="K30" s="78" t="e">
        <f>SUMIFS(#REF!,#REF!,MLS!A30)</f>
        <v>#REF!</v>
      </c>
      <c r="L30" s="78" t="e">
        <f>SUMIFS(#REF!,#REF!,MLS!A30)</f>
        <v>#REF!</v>
      </c>
      <c r="M30" s="78">
        <v>0</v>
      </c>
      <c r="N30" s="78">
        <f>ROUND(SUMIFS(TB_Convert!M:M,TB_Convert!A:A,A30),0)</f>
        <v>0</v>
      </c>
      <c r="O30" s="89" t="str">
        <f t="shared" si="0"/>
        <v>H</v>
      </c>
    </row>
    <row r="31" spans="1:15" x14ac:dyDescent="0.2">
      <c r="A31" s="95">
        <v>123003</v>
      </c>
      <c r="B31" s="96">
        <v>12882</v>
      </c>
      <c r="C31" s="77">
        <v>123</v>
      </c>
      <c r="D31" s="77" t="s">
        <v>249</v>
      </c>
      <c r="E31" s="77" t="s">
        <v>250</v>
      </c>
      <c r="F31" s="78">
        <v>0</v>
      </c>
      <c r="G31" s="78">
        <v>0</v>
      </c>
      <c r="H31" s="78">
        <v>0</v>
      </c>
      <c r="I31" s="78">
        <v>0</v>
      </c>
      <c r="J31" s="78">
        <v>0</v>
      </c>
      <c r="K31" s="78" t="e">
        <f>SUMIFS(#REF!,#REF!,MLS!A31)</f>
        <v>#REF!</v>
      </c>
      <c r="L31" s="78" t="e">
        <f>SUMIFS(#REF!,#REF!,MLS!A31)</f>
        <v>#REF!</v>
      </c>
      <c r="M31" s="78">
        <v>0</v>
      </c>
      <c r="N31" s="78">
        <f>ROUND(SUMIFS(TB_Convert!M:M,TB_Convert!A:A,A31),0)</f>
        <v>0</v>
      </c>
      <c r="O31" s="89" t="str">
        <f t="shared" si="0"/>
        <v>H</v>
      </c>
    </row>
    <row r="32" spans="1:15" x14ac:dyDescent="0.2">
      <c r="A32" s="79"/>
      <c r="B32" s="80"/>
      <c r="C32" s="80"/>
      <c r="D32" s="80" t="s">
        <v>10</v>
      </c>
      <c r="E32" s="80" t="s">
        <v>126</v>
      </c>
      <c r="F32" s="81">
        <v>0</v>
      </c>
      <c r="G32" s="81">
        <v>0</v>
      </c>
      <c r="H32" s="81">
        <v>0</v>
      </c>
      <c r="I32" s="81">
        <v>0</v>
      </c>
      <c r="J32" s="81">
        <v>0</v>
      </c>
      <c r="K32" s="81" t="e">
        <f t="shared" ref="K32:M32" si="15">SUM(K29:K31)</f>
        <v>#REF!</v>
      </c>
      <c r="L32" s="81" t="e">
        <f t="shared" si="15"/>
        <v>#REF!</v>
      </c>
      <c r="M32" s="81">
        <v>0</v>
      </c>
      <c r="N32" s="81">
        <f t="shared" ref="N32" si="16">SUM(N29:N31)</f>
        <v>0</v>
      </c>
      <c r="O32" s="89" t="str">
        <f t="shared" si="0"/>
        <v>H</v>
      </c>
    </row>
    <row r="33" spans="1:15" x14ac:dyDescent="0.2">
      <c r="A33" s="97"/>
      <c r="B33" s="93"/>
      <c r="C33" s="93">
        <v>120</v>
      </c>
      <c r="D33" s="93" t="s">
        <v>7</v>
      </c>
      <c r="E33" s="93" t="s">
        <v>123</v>
      </c>
      <c r="F33" s="94">
        <v>0</v>
      </c>
      <c r="G33" s="94">
        <v>0</v>
      </c>
      <c r="H33" s="94">
        <v>0</v>
      </c>
      <c r="I33" s="94">
        <v>0</v>
      </c>
      <c r="J33" s="94">
        <v>0</v>
      </c>
      <c r="K33" s="94" t="e">
        <f t="shared" ref="K33:M33" si="17">SUM(K27:K28,K32)</f>
        <v>#REF!</v>
      </c>
      <c r="L33" s="94" t="e">
        <f t="shared" si="17"/>
        <v>#REF!</v>
      </c>
      <c r="M33" s="94">
        <v>0</v>
      </c>
      <c r="N33" s="94">
        <f t="shared" ref="N33" ca="1" si="18">SUM(N27:N28,N32)</f>
        <v>0</v>
      </c>
      <c r="O33" s="89" t="str">
        <f t="shared" si="0"/>
        <v>H</v>
      </c>
    </row>
    <row r="34" spans="1:15" x14ac:dyDescent="0.2">
      <c r="A34" s="79">
        <v>131001</v>
      </c>
      <c r="B34" s="98">
        <v>1311</v>
      </c>
      <c r="C34" s="80">
        <v>131</v>
      </c>
      <c r="D34" s="80" t="s">
        <v>12</v>
      </c>
      <c r="E34" s="80" t="s">
        <v>128</v>
      </c>
      <c r="F34" s="81">
        <v>-37621113758</v>
      </c>
      <c r="G34" s="81">
        <v>37632295441</v>
      </c>
      <c r="H34" s="81">
        <v>-11181683</v>
      </c>
      <c r="I34" s="81">
        <v>0</v>
      </c>
      <c r="J34" s="81">
        <v>0</v>
      </c>
      <c r="K34" s="338" t="e">
        <f>SUMIFS(#REF!,#REF!,MLS!A34)</f>
        <v>#REF!</v>
      </c>
      <c r="L34" s="338" t="e">
        <f>SUMIFS(#REF!,#REF!,MLS!A34)</f>
        <v>#REF!</v>
      </c>
      <c r="M34" s="81">
        <v>9300000000</v>
      </c>
      <c r="N34" s="81">
        <f ca="1">SUMIF(TB_Convert!$A$4:$K$86,MLS!E34,TB_Convert!$K$4:$K$86)</f>
        <v>0</v>
      </c>
      <c r="O34" s="89" t="str">
        <f t="shared" si="0"/>
        <v>H</v>
      </c>
    </row>
    <row r="35" spans="1:15" x14ac:dyDescent="0.2">
      <c r="A35" s="79">
        <v>132001</v>
      </c>
      <c r="B35" s="98">
        <v>3313</v>
      </c>
      <c r="C35" s="80">
        <v>132</v>
      </c>
      <c r="D35" s="80" t="s">
        <v>13</v>
      </c>
      <c r="E35" s="80" t="s">
        <v>129</v>
      </c>
      <c r="F35" s="81">
        <v>0</v>
      </c>
      <c r="G35" s="81">
        <v>0</v>
      </c>
      <c r="H35" s="81">
        <v>0</v>
      </c>
      <c r="I35" s="81">
        <v>0</v>
      </c>
      <c r="J35" s="81">
        <v>0</v>
      </c>
      <c r="K35" s="338" t="e">
        <f>SUMIFS(#REF!,#REF!,MLS!A35)</f>
        <v>#REF!</v>
      </c>
      <c r="L35" s="338" t="e">
        <f>SUMIFS(#REF!,#REF!,MLS!A35)</f>
        <v>#REF!</v>
      </c>
      <c r="M35" s="81">
        <v>0</v>
      </c>
      <c r="N35" s="81">
        <f ca="1">SUMIF(TB_Convert!$A$4:$K$86,MLS!E35,TB_Convert!$K$4:$K$86)</f>
        <v>0</v>
      </c>
      <c r="O35" s="89" t="str">
        <f t="shared" si="0"/>
        <v>H</v>
      </c>
    </row>
    <row r="36" spans="1:15" x14ac:dyDescent="0.2">
      <c r="A36" s="95">
        <v>133001</v>
      </c>
      <c r="B36" s="96">
        <v>13621</v>
      </c>
      <c r="C36" s="77">
        <v>133</v>
      </c>
      <c r="D36" s="77" t="s">
        <v>257</v>
      </c>
      <c r="E36" s="77" t="s">
        <v>258</v>
      </c>
      <c r="F36" s="78">
        <v>0</v>
      </c>
      <c r="G36" s="78">
        <v>0</v>
      </c>
      <c r="H36" s="78">
        <v>0</v>
      </c>
      <c r="I36" s="78">
        <v>0</v>
      </c>
      <c r="J36" s="78">
        <v>0</v>
      </c>
      <c r="K36" s="78" t="e">
        <f>SUMIFS(#REF!,#REF!,MLS!A36)</f>
        <v>#REF!</v>
      </c>
      <c r="L36" s="78" t="e">
        <f>SUMIFS(#REF!,#REF!,MLS!A36)</f>
        <v>#REF!</v>
      </c>
      <c r="M36" s="78">
        <v>0</v>
      </c>
      <c r="N36" s="78">
        <f>ROUND(SUMIFS(TB_Convert!M:M,TB_Convert!A:A,A36),0)</f>
        <v>0</v>
      </c>
      <c r="O36" s="89" t="str">
        <f t="shared" si="0"/>
        <v>H</v>
      </c>
    </row>
    <row r="37" spans="1:15" x14ac:dyDescent="0.2">
      <c r="A37" s="95">
        <v>133002</v>
      </c>
      <c r="B37" s="96">
        <v>13631</v>
      </c>
      <c r="C37" s="77">
        <v>133</v>
      </c>
      <c r="D37" s="77" t="s">
        <v>259</v>
      </c>
      <c r="E37" s="77" t="s">
        <v>260</v>
      </c>
      <c r="F37" s="78">
        <v>0</v>
      </c>
      <c r="G37" s="78">
        <v>0</v>
      </c>
      <c r="H37" s="78">
        <v>0</v>
      </c>
      <c r="I37" s="78">
        <v>0</v>
      </c>
      <c r="J37" s="78">
        <v>0</v>
      </c>
      <c r="K37" s="78" t="e">
        <f>SUMIFS(#REF!,#REF!,MLS!A37)</f>
        <v>#REF!</v>
      </c>
      <c r="L37" s="78" t="e">
        <f>SUMIFS(#REF!,#REF!,MLS!A37)</f>
        <v>#REF!</v>
      </c>
      <c r="M37" s="78">
        <v>0</v>
      </c>
      <c r="N37" s="78">
        <f>ROUND(SUMIFS(TB_Convert!M:M,TB_Convert!A:A,A37),0)</f>
        <v>0</v>
      </c>
      <c r="O37" s="89" t="str">
        <f t="shared" si="0"/>
        <v>H</v>
      </c>
    </row>
    <row r="38" spans="1:15" x14ac:dyDescent="0.2">
      <c r="A38" s="95">
        <v>133003</v>
      </c>
      <c r="B38" s="96">
        <v>13681</v>
      </c>
      <c r="C38" s="77">
        <v>133</v>
      </c>
      <c r="D38" s="77" t="s">
        <v>261</v>
      </c>
      <c r="E38" s="77" t="s">
        <v>262</v>
      </c>
      <c r="F38" s="78">
        <v>0</v>
      </c>
      <c r="G38" s="78">
        <v>0</v>
      </c>
      <c r="H38" s="78">
        <v>0</v>
      </c>
      <c r="I38" s="78">
        <v>0</v>
      </c>
      <c r="J38" s="78">
        <v>0</v>
      </c>
      <c r="K38" s="78" t="e">
        <f>SUMIFS(#REF!,#REF!,MLS!A38)</f>
        <v>#REF!</v>
      </c>
      <c r="L38" s="78" t="e">
        <f>SUMIFS(#REF!,#REF!,MLS!A38)</f>
        <v>#REF!</v>
      </c>
      <c r="M38" s="78">
        <v>0</v>
      </c>
      <c r="N38" s="78">
        <f>ROUND(SUMIFS(TB_Convert!M:M,TB_Convert!A:A,A38),0)</f>
        <v>0</v>
      </c>
      <c r="O38" s="89" t="str">
        <f t="shared" si="0"/>
        <v>H</v>
      </c>
    </row>
    <row r="39" spans="1:15" x14ac:dyDescent="0.2">
      <c r="A39" s="79"/>
      <c r="B39" s="80"/>
      <c r="C39" s="80"/>
      <c r="D39" s="80" t="s">
        <v>14</v>
      </c>
      <c r="E39" s="80" t="s">
        <v>130</v>
      </c>
      <c r="F39" s="81">
        <v>0</v>
      </c>
      <c r="G39" s="81">
        <v>0</v>
      </c>
      <c r="H39" s="81">
        <v>0</v>
      </c>
      <c r="I39" s="81">
        <v>0</v>
      </c>
      <c r="J39" s="81">
        <v>0</v>
      </c>
      <c r="K39" s="81" t="e">
        <f t="shared" ref="K39:M39" si="19">SUM(K36:K38)</f>
        <v>#REF!</v>
      </c>
      <c r="L39" s="81" t="e">
        <f t="shared" si="19"/>
        <v>#REF!</v>
      </c>
      <c r="M39" s="81">
        <v>0</v>
      </c>
      <c r="N39" s="81">
        <f t="shared" ref="N39" si="20">SUM(N36:N38)</f>
        <v>0</v>
      </c>
      <c r="O39" s="89" t="str">
        <f t="shared" si="0"/>
        <v>H</v>
      </c>
    </row>
    <row r="40" spans="1:15" x14ac:dyDescent="0.2">
      <c r="A40" s="79">
        <v>134001</v>
      </c>
      <c r="B40" s="98">
        <v>3371</v>
      </c>
      <c r="C40" s="80">
        <v>134</v>
      </c>
      <c r="D40" s="80" t="s">
        <v>15</v>
      </c>
      <c r="E40" s="80" t="s">
        <v>131</v>
      </c>
      <c r="F40" s="81">
        <v>0</v>
      </c>
      <c r="G40" s="81">
        <v>0</v>
      </c>
      <c r="H40" s="81">
        <v>0</v>
      </c>
      <c r="I40" s="81">
        <v>0</v>
      </c>
      <c r="J40" s="81">
        <v>0</v>
      </c>
      <c r="K40" s="338" t="e">
        <f>SUMIFS(#REF!,#REF!,MLS!A40)</f>
        <v>#REF!</v>
      </c>
      <c r="L40" s="338" t="e">
        <f>SUMIFS(#REF!,#REF!,MLS!A40)</f>
        <v>#REF!</v>
      </c>
      <c r="M40" s="81">
        <v>0</v>
      </c>
      <c r="N40" s="81">
        <f ca="1">SUMIF(TB_Convert!$A$4:$K$86,MLS!E40,TB_Convert!$K$4:$K$86)</f>
        <v>0</v>
      </c>
      <c r="O40" s="89" t="str">
        <f t="shared" si="0"/>
        <v>H</v>
      </c>
    </row>
    <row r="41" spans="1:15" x14ac:dyDescent="0.2">
      <c r="A41" s="79">
        <v>135001</v>
      </c>
      <c r="B41" s="98">
        <v>12831</v>
      </c>
      <c r="C41" s="80">
        <v>135</v>
      </c>
      <c r="D41" s="80" t="s">
        <v>16</v>
      </c>
      <c r="E41" s="80" t="s">
        <v>132</v>
      </c>
      <c r="F41" s="81">
        <v>0</v>
      </c>
      <c r="G41" s="81">
        <v>0</v>
      </c>
      <c r="H41" s="81">
        <v>0</v>
      </c>
      <c r="I41" s="81">
        <v>0</v>
      </c>
      <c r="J41" s="81">
        <v>0</v>
      </c>
      <c r="K41" s="338" t="e">
        <f>SUMIFS(#REF!,#REF!,MLS!A41)</f>
        <v>#REF!</v>
      </c>
      <c r="L41" s="338" t="e">
        <f>SUMIFS(#REF!,#REF!,MLS!A41)</f>
        <v>#REF!</v>
      </c>
      <c r="M41" s="81">
        <v>0</v>
      </c>
      <c r="N41" s="81">
        <f ca="1">SUMIF(TB_Convert!$A$4:$K$86,MLS!E41,TB_Convert!$K$4:$K$86)</f>
        <v>0</v>
      </c>
      <c r="O41" s="89" t="str">
        <f t="shared" si="0"/>
        <v>H</v>
      </c>
    </row>
    <row r="42" spans="1:15" x14ac:dyDescent="0.2">
      <c r="A42" s="95">
        <v>136001</v>
      </c>
      <c r="B42" s="96">
        <v>13851</v>
      </c>
      <c r="C42" s="77">
        <v>136</v>
      </c>
      <c r="D42" s="77" t="s">
        <v>263</v>
      </c>
      <c r="E42" s="77" t="s">
        <v>264</v>
      </c>
      <c r="F42" s="78">
        <v>0</v>
      </c>
      <c r="G42" s="78">
        <v>0</v>
      </c>
      <c r="H42" s="78">
        <v>0</v>
      </c>
      <c r="I42" s="78">
        <v>0</v>
      </c>
      <c r="J42" s="78">
        <v>0</v>
      </c>
      <c r="K42" s="78" t="e">
        <f>SUMIFS(#REF!,#REF!,MLS!A42)</f>
        <v>#REF!</v>
      </c>
      <c r="L42" s="78" t="e">
        <f>SUMIFS(#REF!,#REF!,MLS!A42)</f>
        <v>#REF!</v>
      </c>
      <c r="M42" s="78">
        <v>0</v>
      </c>
      <c r="N42" s="78">
        <f>ROUND(SUMIFS(TB_Convert!M:M,TB_Convert!A:A,A42),0)</f>
        <v>0</v>
      </c>
      <c r="O42" s="89" t="str">
        <f t="shared" si="0"/>
        <v>H</v>
      </c>
    </row>
    <row r="43" spans="1:15" x14ac:dyDescent="0.2">
      <c r="A43" s="95">
        <v>136002</v>
      </c>
      <c r="B43" s="96">
        <v>13881</v>
      </c>
      <c r="C43" s="77">
        <v>136</v>
      </c>
      <c r="D43" s="77" t="s">
        <v>701</v>
      </c>
      <c r="E43" s="77" t="s">
        <v>266</v>
      </c>
      <c r="F43" s="78">
        <v>400000000</v>
      </c>
      <c r="G43" s="78">
        <v>11181683</v>
      </c>
      <c r="H43" s="78">
        <v>0</v>
      </c>
      <c r="I43" s="78">
        <v>411181683</v>
      </c>
      <c r="J43" s="78">
        <v>9700000000</v>
      </c>
      <c r="K43" s="78" t="e">
        <f>SUMIFS(#REF!,#REF!,MLS!A43)</f>
        <v>#REF!</v>
      </c>
      <c r="L43" s="78" t="e">
        <f>SUMIFS(#REF!,#REF!,MLS!A43)</f>
        <v>#REF!</v>
      </c>
      <c r="M43" s="78">
        <v>400000000</v>
      </c>
      <c r="N43" s="78">
        <f>ROUND(SUMIFS(TB_Convert!M:M,TB_Convert!A:A,A43),0)</f>
        <v>400000000</v>
      </c>
      <c r="O43" s="89" t="str">
        <f t="shared" si="0"/>
        <v>S</v>
      </c>
    </row>
    <row r="44" spans="1:15" x14ac:dyDescent="0.2">
      <c r="A44" s="95">
        <v>136003</v>
      </c>
      <c r="B44" s="96">
        <v>3341</v>
      </c>
      <c r="C44" s="77">
        <v>136</v>
      </c>
      <c r="D44" s="77" t="s">
        <v>63</v>
      </c>
      <c r="E44" s="77" t="s">
        <v>181</v>
      </c>
      <c r="F44" s="78">
        <v>0</v>
      </c>
      <c r="G44" s="78">
        <v>0</v>
      </c>
      <c r="H44" s="78">
        <v>0</v>
      </c>
      <c r="I44" s="78">
        <v>0</v>
      </c>
      <c r="J44" s="78">
        <v>0</v>
      </c>
      <c r="K44" s="78" t="e">
        <f>SUMIFS(#REF!,#REF!,MLS!A44)</f>
        <v>#REF!</v>
      </c>
      <c r="L44" s="78" t="e">
        <f>SUMIFS(#REF!,#REF!,MLS!A44)</f>
        <v>#REF!</v>
      </c>
      <c r="M44" s="78">
        <v>0</v>
      </c>
      <c r="N44" s="78">
        <f>ROUND(SUMIFS(TB_Convert!M:M,TB_Convert!A:A,A44),0)</f>
        <v>0</v>
      </c>
      <c r="O44" s="89" t="str">
        <f t="shared" si="0"/>
        <v>H</v>
      </c>
    </row>
    <row r="45" spans="1:15" x14ac:dyDescent="0.2">
      <c r="A45" s="95">
        <v>136004</v>
      </c>
      <c r="B45" s="96">
        <v>3381</v>
      </c>
      <c r="C45" s="77">
        <v>136</v>
      </c>
      <c r="D45" s="77" t="s">
        <v>267</v>
      </c>
      <c r="E45" s="77" t="s">
        <v>268</v>
      </c>
      <c r="F45" s="78">
        <v>0</v>
      </c>
      <c r="G45" s="78">
        <v>0</v>
      </c>
      <c r="H45" s="78">
        <v>0</v>
      </c>
      <c r="I45" s="78">
        <v>0</v>
      </c>
      <c r="J45" s="78">
        <v>0</v>
      </c>
      <c r="K45" s="78" t="e">
        <f>SUMIFS(#REF!,#REF!,MLS!A45)</f>
        <v>#REF!</v>
      </c>
      <c r="L45" s="78" t="e">
        <f>SUMIFS(#REF!,#REF!,MLS!A45)</f>
        <v>#REF!</v>
      </c>
      <c r="M45" s="78">
        <v>0</v>
      </c>
      <c r="N45" s="78">
        <f>ROUND(SUMIFS(TB_Convert!M:M,TB_Convert!A:A,A45),0)</f>
        <v>0</v>
      </c>
      <c r="O45" s="89" t="str">
        <f t="shared" si="0"/>
        <v>H</v>
      </c>
    </row>
    <row r="46" spans="1:15" x14ac:dyDescent="0.2">
      <c r="A46" s="95">
        <v>136005</v>
      </c>
      <c r="B46" s="96">
        <v>1411</v>
      </c>
      <c r="C46" s="77">
        <v>136</v>
      </c>
      <c r="D46" s="77" t="s">
        <v>269</v>
      </c>
      <c r="E46" s="77" t="s">
        <v>270</v>
      </c>
      <c r="F46" s="78">
        <v>0</v>
      </c>
      <c r="G46" s="78">
        <v>0</v>
      </c>
      <c r="H46" s="78">
        <v>0</v>
      </c>
      <c r="I46" s="78">
        <v>0</v>
      </c>
      <c r="J46" s="78">
        <v>0</v>
      </c>
      <c r="K46" s="78" t="e">
        <f>SUMIFS(#REF!,#REF!,MLS!A46)</f>
        <v>#REF!</v>
      </c>
      <c r="L46" s="78" t="e">
        <f>SUMIFS(#REF!,#REF!,MLS!A46)</f>
        <v>#REF!</v>
      </c>
      <c r="M46" s="78">
        <v>0</v>
      </c>
      <c r="N46" s="78">
        <f>ROUND(SUMIFS(TB_Convert!M:M,TB_Convert!A:A,A46),0)</f>
        <v>0</v>
      </c>
      <c r="O46" s="89" t="str">
        <f t="shared" si="0"/>
        <v>H</v>
      </c>
    </row>
    <row r="47" spans="1:15" x14ac:dyDescent="0.2">
      <c r="A47" s="95">
        <v>136006</v>
      </c>
      <c r="B47" s="96">
        <v>2441</v>
      </c>
      <c r="C47" s="77">
        <v>136</v>
      </c>
      <c r="D47" s="77" t="s">
        <v>271</v>
      </c>
      <c r="E47" s="77" t="s">
        <v>272</v>
      </c>
      <c r="F47" s="78">
        <v>0</v>
      </c>
      <c r="G47" s="78">
        <v>0</v>
      </c>
      <c r="H47" s="78">
        <v>0</v>
      </c>
      <c r="I47" s="78">
        <v>0</v>
      </c>
      <c r="J47" s="78">
        <v>0</v>
      </c>
      <c r="K47" s="78" t="e">
        <f>SUMIFS(#REF!,#REF!,MLS!A47)</f>
        <v>#REF!</v>
      </c>
      <c r="L47" s="78" t="e">
        <f>SUMIFS(#REF!,#REF!,MLS!A47)</f>
        <v>#REF!</v>
      </c>
      <c r="M47" s="78">
        <v>0</v>
      </c>
      <c r="N47" s="78">
        <f>ROUND(SUMIFS(TB_Convert!M:M,TB_Convert!A:A,A47),0)</f>
        <v>0</v>
      </c>
      <c r="O47" s="89" t="str">
        <f t="shared" si="0"/>
        <v>H</v>
      </c>
    </row>
    <row r="48" spans="1:15" x14ac:dyDescent="0.2">
      <c r="A48" s="79"/>
      <c r="B48" s="80"/>
      <c r="C48" s="80"/>
      <c r="D48" s="80" t="s">
        <v>17</v>
      </c>
      <c r="E48" s="80" t="s">
        <v>133</v>
      </c>
      <c r="F48" s="81">
        <v>400000000</v>
      </c>
      <c r="G48" s="81">
        <v>11181683</v>
      </c>
      <c r="H48" s="81">
        <v>0</v>
      </c>
      <c r="I48" s="81">
        <v>411181683</v>
      </c>
      <c r="J48" s="81">
        <v>9700000000</v>
      </c>
      <c r="K48" s="81" t="e">
        <f t="shared" ref="K48:M48" si="21">SUM(K42:K47)</f>
        <v>#REF!</v>
      </c>
      <c r="L48" s="81" t="e">
        <f t="shared" si="21"/>
        <v>#REF!</v>
      </c>
      <c r="M48" s="81">
        <v>400000000</v>
      </c>
      <c r="N48" s="81">
        <f t="shared" ref="N48" si="22">SUM(N42:N47)</f>
        <v>400000000</v>
      </c>
      <c r="O48" s="89" t="str">
        <f t="shared" si="0"/>
        <v>S</v>
      </c>
    </row>
    <row r="49" spans="1:15" x14ac:dyDescent="0.2">
      <c r="A49" s="79">
        <v>137001</v>
      </c>
      <c r="B49" s="80">
        <v>22931</v>
      </c>
      <c r="C49" s="80">
        <v>137</v>
      </c>
      <c r="D49" s="80" t="s">
        <v>18</v>
      </c>
      <c r="E49" s="80" t="s">
        <v>134</v>
      </c>
      <c r="F49" s="81">
        <v>0</v>
      </c>
      <c r="G49" s="81">
        <v>0</v>
      </c>
      <c r="H49" s="81">
        <v>0</v>
      </c>
      <c r="I49" s="81">
        <v>0</v>
      </c>
      <c r="J49" s="81">
        <v>0</v>
      </c>
      <c r="K49" s="338" t="e">
        <f>SUMIFS(#REF!,#REF!,MLS!A49)</f>
        <v>#REF!</v>
      </c>
      <c r="L49" s="338" t="e">
        <f>SUMIFS(#REF!,#REF!,MLS!A49)</f>
        <v>#REF!</v>
      </c>
      <c r="M49" s="81">
        <v>0</v>
      </c>
      <c r="N49" s="81">
        <f ca="1">SUMIF(TB_Convert!$A$4:$K$86,MLS!E49,TB_Convert!$K$4:$K$86)</f>
        <v>0</v>
      </c>
      <c r="O49" s="89" t="str">
        <f t="shared" si="0"/>
        <v>H</v>
      </c>
    </row>
    <row r="50" spans="1:15" x14ac:dyDescent="0.2">
      <c r="A50" s="79">
        <v>139001</v>
      </c>
      <c r="B50" s="80">
        <v>1381</v>
      </c>
      <c r="C50" s="80">
        <v>139</v>
      </c>
      <c r="D50" s="80" t="s">
        <v>19</v>
      </c>
      <c r="E50" s="80" t="s">
        <v>135</v>
      </c>
      <c r="F50" s="81">
        <v>0</v>
      </c>
      <c r="G50" s="81">
        <v>0</v>
      </c>
      <c r="H50" s="81">
        <v>0</v>
      </c>
      <c r="I50" s="81">
        <v>0</v>
      </c>
      <c r="J50" s="81">
        <v>0</v>
      </c>
      <c r="K50" s="338" t="e">
        <f>SUMIFS(#REF!,#REF!,MLS!A50)</f>
        <v>#REF!</v>
      </c>
      <c r="L50" s="338" t="e">
        <f>SUMIFS(#REF!,#REF!,MLS!A50)</f>
        <v>#REF!</v>
      </c>
      <c r="M50" s="81">
        <v>0</v>
      </c>
      <c r="N50" s="81">
        <f ca="1">SUMIF(TB_Convert!$A$4:$K$86,MLS!E50,TB_Convert!$K$4:$K$86)</f>
        <v>0</v>
      </c>
      <c r="O50" s="89" t="str">
        <f t="shared" si="0"/>
        <v>H</v>
      </c>
    </row>
    <row r="51" spans="1:15" x14ac:dyDescent="0.2">
      <c r="A51" s="97"/>
      <c r="B51" s="93"/>
      <c r="C51" s="93">
        <v>130</v>
      </c>
      <c r="D51" s="93" t="s">
        <v>11</v>
      </c>
      <c r="E51" s="93" t="s">
        <v>127</v>
      </c>
      <c r="F51" s="94">
        <v>-37221113758</v>
      </c>
      <c r="G51" s="94">
        <v>37643477124</v>
      </c>
      <c r="H51" s="94">
        <v>-11181683</v>
      </c>
      <c r="I51" s="94">
        <v>411181683</v>
      </c>
      <c r="J51" s="94">
        <v>9700000000</v>
      </c>
      <c r="K51" s="94" t="e">
        <f t="shared" ref="K51:M51" si="23">SUM(K34:K35,K39:K41,K48:K50)</f>
        <v>#REF!</v>
      </c>
      <c r="L51" s="94" t="e">
        <f t="shared" si="23"/>
        <v>#REF!</v>
      </c>
      <c r="M51" s="94">
        <v>9700000000</v>
      </c>
      <c r="N51" s="94">
        <f t="shared" ref="N51" ca="1" si="24">SUM(N34:N35,N39:N41,N48:N50)</f>
        <v>400000000</v>
      </c>
      <c r="O51" s="89" t="str">
        <f t="shared" si="0"/>
        <v>S</v>
      </c>
    </row>
    <row r="52" spans="1:15" x14ac:dyDescent="0.2">
      <c r="A52" s="95"/>
      <c r="O52" s="89" t="str">
        <f t="shared" si="0"/>
        <v>H</v>
      </c>
    </row>
    <row r="53" spans="1:15" x14ac:dyDescent="0.2">
      <c r="A53" s="79">
        <v>141001</v>
      </c>
      <c r="B53" s="80">
        <v>151</v>
      </c>
      <c r="C53" s="80">
        <v>141</v>
      </c>
      <c r="D53" s="80" t="s">
        <v>273</v>
      </c>
      <c r="E53" s="80" t="s">
        <v>274</v>
      </c>
      <c r="F53" s="81">
        <v>0</v>
      </c>
      <c r="G53" s="81">
        <v>0</v>
      </c>
      <c r="H53" s="81">
        <v>0</v>
      </c>
      <c r="I53" s="81">
        <v>0</v>
      </c>
      <c r="J53" s="81">
        <v>0</v>
      </c>
      <c r="K53" s="338" t="e">
        <f>SUMIFS(#REF!,#REF!,MLS!A53)</f>
        <v>#REF!</v>
      </c>
      <c r="L53" s="338" t="e">
        <f>SUMIFS(#REF!,#REF!,MLS!A53)</f>
        <v>#REF!</v>
      </c>
      <c r="M53" s="81">
        <v>0</v>
      </c>
      <c r="N53" s="81">
        <f ca="1">SUMIF(TB_Convert!$A$4:$K$86,MLS!E53,TB_Convert!$K$4:$K$86)</f>
        <v>0</v>
      </c>
      <c r="O53" s="89" t="str">
        <f t="shared" si="0"/>
        <v>H</v>
      </c>
    </row>
    <row r="54" spans="1:15" x14ac:dyDescent="0.2">
      <c r="A54" s="79">
        <v>141002</v>
      </c>
      <c r="B54" s="80">
        <v>152</v>
      </c>
      <c r="C54" s="80">
        <v>141</v>
      </c>
      <c r="D54" s="80" t="s">
        <v>275</v>
      </c>
      <c r="E54" s="80" t="s">
        <v>276</v>
      </c>
      <c r="F54" s="81">
        <v>0</v>
      </c>
      <c r="G54" s="81">
        <v>0</v>
      </c>
      <c r="H54" s="81">
        <v>0</v>
      </c>
      <c r="I54" s="81">
        <v>0</v>
      </c>
      <c r="J54" s="81">
        <v>0</v>
      </c>
      <c r="K54" s="338" t="e">
        <f>SUMIFS(#REF!,#REF!,MLS!A54)</f>
        <v>#REF!</v>
      </c>
      <c r="L54" s="338" t="e">
        <f>SUMIFS(#REF!,#REF!,MLS!A54)</f>
        <v>#REF!</v>
      </c>
      <c r="M54" s="81">
        <v>0</v>
      </c>
      <c r="N54" s="81">
        <f ca="1">SUMIF(TB_Convert!$A$4:$K$86,MLS!E54,TB_Convert!$K$4:$K$86)</f>
        <v>0</v>
      </c>
      <c r="O54" s="89" t="str">
        <f t="shared" si="0"/>
        <v>H</v>
      </c>
    </row>
    <row r="55" spans="1:15" x14ac:dyDescent="0.2">
      <c r="A55" s="95">
        <v>141003</v>
      </c>
      <c r="B55" s="77">
        <v>1531</v>
      </c>
      <c r="C55" s="77">
        <v>141</v>
      </c>
      <c r="D55" s="77" t="s">
        <v>277</v>
      </c>
      <c r="E55" s="77" t="s">
        <v>278</v>
      </c>
      <c r="F55" s="78">
        <v>0</v>
      </c>
      <c r="G55" s="78">
        <v>0</v>
      </c>
      <c r="H55" s="78">
        <v>0</v>
      </c>
      <c r="I55" s="78">
        <v>0</v>
      </c>
      <c r="J55" s="78">
        <v>0</v>
      </c>
      <c r="K55" s="78" t="e">
        <f>SUMIFS(#REF!,#REF!,MLS!A55)</f>
        <v>#REF!</v>
      </c>
      <c r="L55" s="78" t="e">
        <f>SUMIFS(#REF!,#REF!,MLS!A55)</f>
        <v>#REF!</v>
      </c>
      <c r="M55" s="78">
        <v>0</v>
      </c>
      <c r="N55" s="78">
        <f>ROUND(SUMIFS(TB_Convert!M:M,TB_Convert!A:A,A55),0)</f>
        <v>0</v>
      </c>
      <c r="O55" s="89" t="str">
        <f t="shared" si="0"/>
        <v>H</v>
      </c>
    </row>
    <row r="56" spans="1:15" x14ac:dyDescent="0.2">
      <c r="A56" s="95">
        <v>141004</v>
      </c>
      <c r="B56" s="77">
        <v>1532</v>
      </c>
      <c r="C56" s="77">
        <v>141</v>
      </c>
      <c r="D56" s="77" t="s">
        <v>281</v>
      </c>
      <c r="E56" s="77" t="s">
        <v>282</v>
      </c>
      <c r="F56" s="78">
        <v>0</v>
      </c>
      <c r="G56" s="78">
        <v>0</v>
      </c>
      <c r="H56" s="78">
        <v>0</v>
      </c>
      <c r="I56" s="78">
        <v>0</v>
      </c>
      <c r="J56" s="78">
        <v>0</v>
      </c>
      <c r="K56" s="78" t="e">
        <f>SUMIFS(#REF!,#REF!,MLS!A56)</f>
        <v>#REF!</v>
      </c>
      <c r="L56" s="78" t="e">
        <f>SUMIFS(#REF!,#REF!,MLS!A56)</f>
        <v>#REF!</v>
      </c>
      <c r="M56" s="78">
        <v>0</v>
      </c>
      <c r="N56" s="78">
        <f>ROUND(SUMIFS(TB_Convert!M:M,TB_Convert!A:A,A56),0)</f>
        <v>0</v>
      </c>
      <c r="O56" s="89" t="str">
        <f t="shared" si="0"/>
        <v>H</v>
      </c>
    </row>
    <row r="57" spans="1:15" x14ac:dyDescent="0.2">
      <c r="A57" s="95">
        <v>141005</v>
      </c>
      <c r="B57" s="77">
        <v>1533</v>
      </c>
      <c r="C57" s="77">
        <v>141</v>
      </c>
      <c r="D57" s="77" t="s">
        <v>283</v>
      </c>
      <c r="E57" s="77" t="s">
        <v>284</v>
      </c>
      <c r="F57" s="78">
        <v>0</v>
      </c>
      <c r="G57" s="78">
        <v>0</v>
      </c>
      <c r="H57" s="78">
        <v>0</v>
      </c>
      <c r="I57" s="78">
        <v>0</v>
      </c>
      <c r="J57" s="78">
        <v>0</v>
      </c>
      <c r="K57" s="78" t="e">
        <f>SUMIFS(#REF!,#REF!,MLS!A57)</f>
        <v>#REF!</v>
      </c>
      <c r="L57" s="78" t="e">
        <f>SUMIFS(#REF!,#REF!,MLS!A57)</f>
        <v>#REF!</v>
      </c>
      <c r="M57" s="78">
        <v>0</v>
      </c>
      <c r="N57" s="78">
        <f>ROUND(SUMIFS(TB_Convert!M:M,TB_Convert!A:A,A57),0)</f>
        <v>0</v>
      </c>
      <c r="O57" s="89" t="str">
        <f t="shared" si="0"/>
        <v>H</v>
      </c>
    </row>
    <row r="58" spans="1:15" x14ac:dyDescent="0.2">
      <c r="A58" s="95">
        <v>141006</v>
      </c>
      <c r="B58" s="96">
        <v>1534</v>
      </c>
      <c r="C58" s="77">
        <v>141</v>
      </c>
      <c r="D58" s="77" t="s">
        <v>285</v>
      </c>
      <c r="E58" s="77" t="s">
        <v>286</v>
      </c>
      <c r="F58" s="78">
        <v>0</v>
      </c>
      <c r="G58" s="78">
        <v>0</v>
      </c>
      <c r="H58" s="78">
        <v>0</v>
      </c>
      <c r="I58" s="78">
        <v>0</v>
      </c>
      <c r="J58" s="78">
        <v>0</v>
      </c>
      <c r="K58" s="78" t="e">
        <f>SUMIFS(#REF!,#REF!,MLS!A58)</f>
        <v>#REF!</v>
      </c>
      <c r="L58" s="78" t="e">
        <f>SUMIFS(#REF!,#REF!,MLS!A58)</f>
        <v>#REF!</v>
      </c>
      <c r="M58" s="78">
        <v>0</v>
      </c>
      <c r="N58" s="78">
        <f>ROUND(SUMIFS(TB_Convert!M:M,TB_Convert!A:A,A58),0)</f>
        <v>0</v>
      </c>
      <c r="O58" s="89" t="str">
        <f t="shared" si="0"/>
        <v>H</v>
      </c>
    </row>
    <row r="59" spans="1:15" x14ac:dyDescent="0.2">
      <c r="A59" s="79"/>
      <c r="B59" s="80"/>
      <c r="C59" s="80"/>
      <c r="D59" s="80" t="s">
        <v>277</v>
      </c>
      <c r="E59" s="80" t="s">
        <v>278</v>
      </c>
      <c r="F59" s="81">
        <v>0</v>
      </c>
      <c r="G59" s="81">
        <v>0</v>
      </c>
      <c r="H59" s="81">
        <v>0</v>
      </c>
      <c r="I59" s="81">
        <v>0</v>
      </c>
      <c r="J59" s="81">
        <v>0</v>
      </c>
      <c r="K59" s="81" t="e">
        <f t="shared" ref="K59:M59" si="25">SUM(K55:K58)</f>
        <v>#REF!</v>
      </c>
      <c r="L59" s="81" t="e">
        <f t="shared" si="25"/>
        <v>#REF!</v>
      </c>
      <c r="M59" s="81">
        <v>0</v>
      </c>
      <c r="N59" s="81">
        <f t="shared" ref="N59" si="26">SUM(N55:N58)</f>
        <v>0</v>
      </c>
      <c r="O59" s="89" t="str">
        <f t="shared" si="0"/>
        <v>H</v>
      </c>
    </row>
    <row r="60" spans="1:15" s="89" customFormat="1" x14ac:dyDescent="0.2">
      <c r="A60" s="95">
        <v>141007</v>
      </c>
      <c r="B60" s="99">
        <v>1541</v>
      </c>
      <c r="C60" s="77">
        <v>141</v>
      </c>
      <c r="D60" s="87" t="s">
        <v>287</v>
      </c>
      <c r="E60" s="87" t="s">
        <v>288</v>
      </c>
      <c r="F60" s="88">
        <v>0</v>
      </c>
      <c r="G60" s="88">
        <v>0</v>
      </c>
      <c r="H60" s="88">
        <v>0</v>
      </c>
      <c r="I60" s="88">
        <v>0</v>
      </c>
      <c r="J60" s="88">
        <v>0</v>
      </c>
      <c r="K60" s="78" t="e">
        <f>SUMIFS(#REF!,#REF!,MLS!A60)</f>
        <v>#REF!</v>
      </c>
      <c r="L60" s="78" t="e">
        <f>SUMIFS(#REF!,#REF!,MLS!A60)</f>
        <v>#REF!</v>
      </c>
      <c r="M60" s="88">
        <v>0</v>
      </c>
      <c r="N60" s="88">
        <f>ROUND(SUMIFS(TB_Convert!M:M,TB_Convert!A:A,A60),0)</f>
        <v>0</v>
      </c>
      <c r="O60" s="89" t="str">
        <f t="shared" si="0"/>
        <v>H</v>
      </c>
    </row>
    <row r="61" spans="1:15" s="89" customFormat="1" x14ac:dyDescent="0.2">
      <c r="A61" s="95">
        <v>141008</v>
      </c>
      <c r="B61" s="99">
        <v>1542</v>
      </c>
      <c r="C61" s="77">
        <v>141</v>
      </c>
      <c r="D61" s="87" t="s">
        <v>289</v>
      </c>
      <c r="E61" s="87" t="s">
        <v>290</v>
      </c>
      <c r="F61" s="88">
        <v>0</v>
      </c>
      <c r="G61" s="88">
        <v>0</v>
      </c>
      <c r="H61" s="88">
        <v>0</v>
      </c>
      <c r="I61" s="88">
        <v>0</v>
      </c>
      <c r="J61" s="88">
        <v>0</v>
      </c>
      <c r="K61" s="78" t="e">
        <f>SUMIFS(#REF!,#REF!,MLS!A61)</f>
        <v>#REF!</v>
      </c>
      <c r="L61" s="78" t="e">
        <f>SUMIFS(#REF!,#REF!,MLS!A61)</f>
        <v>#REF!</v>
      </c>
      <c r="M61" s="88">
        <v>0</v>
      </c>
      <c r="N61" s="88">
        <f>ROUND(SUMIFS(TB_Convert!M:M,TB_Convert!A:A,A61),0)</f>
        <v>0</v>
      </c>
      <c r="O61" s="89" t="str">
        <f t="shared" si="0"/>
        <v>H</v>
      </c>
    </row>
    <row r="62" spans="1:15" s="89" customFormat="1" x14ac:dyDescent="0.2">
      <c r="A62" s="95">
        <v>141009</v>
      </c>
      <c r="B62" s="99">
        <v>1543</v>
      </c>
      <c r="C62" s="77">
        <v>141</v>
      </c>
      <c r="D62" s="87" t="s">
        <v>291</v>
      </c>
      <c r="E62" s="87" t="s">
        <v>292</v>
      </c>
      <c r="F62" s="88">
        <v>0</v>
      </c>
      <c r="G62" s="88">
        <v>0</v>
      </c>
      <c r="H62" s="88">
        <v>0</v>
      </c>
      <c r="I62" s="88">
        <v>0</v>
      </c>
      <c r="J62" s="88">
        <v>0</v>
      </c>
      <c r="K62" s="78" t="e">
        <f>SUMIFS(#REF!,#REF!,MLS!A62)</f>
        <v>#REF!</v>
      </c>
      <c r="L62" s="78" t="e">
        <f>SUMIFS(#REF!,#REF!,MLS!A62)</f>
        <v>#REF!</v>
      </c>
      <c r="M62" s="88">
        <v>0</v>
      </c>
      <c r="N62" s="88">
        <f>ROUND(SUMIFS(TB_Convert!M:M,TB_Convert!A:A,A62),0)</f>
        <v>0</v>
      </c>
      <c r="O62" s="89" t="str">
        <f t="shared" si="0"/>
        <v>H</v>
      </c>
    </row>
    <row r="63" spans="1:15" s="89" customFormat="1" x14ac:dyDescent="0.2">
      <c r="A63" s="95">
        <v>141010</v>
      </c>
      <c r="B63" s="99">
        <v>1544</v>
      </c>
      <c r="C63" s="77">
        <v>141</v>
      </c>
      <c r="D63" s="87" t="s">
        <v>293</v>
      </c>
      <c r="E63" s="87" t="s">
        <v>294</v>
      </c>
      <c r="F63" s="88">
        <v>0</v>
      </c>
      <c r="G63" s="88">
        <v>0</v>
      </c>
      <c r="H63" s="88">
        <v>0</v>
      </c>
      <c r="I63" s="88">
        <v>0</v>
      </c>
      <c r="J63" s="88">
        <v>0</v>
      </c>
      <c r="K63" s="78" t="e">
        <f>SUMIFS(#REF!,#REF!,MLS!A63)</f>
        <v>#REF!</v>
      </c>
      <c r="L63" s="78" t="e">
        <f>SUMIFS(#REF!,#REF!,MLS!A63)</f>
        <v>#REF!</v>
      </c>
      <c r="M63" s="88">
        <v>0</v>
      </c>
      <c r="N63" s="88">
        <f>ROUND(SUMIFS(TB_Convert!M:M,TB_Convert!A:A,A63),0)</f>
        <v>0</v>
      </c>
      <c r="O63" s="89" t="str">
        <f t="shared" si="0"/>
        <v>H</v>
      </c>
    </row>
    <row r="64" spans="1:15" x14ac:dyDescent="0.2">
      <c r="A64" s="79"/>
      <c r="B64" s="80"/>
      <c r="C64" s="80"/>
      <c r="D64" s="80" t="s">
        <v>279</v>
      </c>
      <c r="E64" s="80" t="s">
        <v>280</v>
      </c>
      <c r="F64" s="81">
        <v>0</v>
      </c>
      <c r="G64" s="81">
        <v>0</v>
      </c>
      <c r="H64" s="81">
        <v>0</v>
      </c>
      <c r="I64" s="81">
        <v>0</v>
      </c>
      <c r="J64" s="81">
        <v>0</v>
      </c>
      <c r="K64" s="81" t="e">
        <f t="shared" ref="K64:M64" si="27">SUM(K60:K63)</f>
        <v>#REF!</v>
      </c>
      <c r="L64" s="81" t="e">
        <f t="shared" si="27"/>
        <v>#REF!</v>
      </c>
      <c r="M64" s="81">
        <v>0</v>
      </c>
      <c r="N64" s="81">
        <f t="shared" ref="N64" si="28">SUM(N60:N63)</f>
        <v>0</v>
      </c>
      <c r="O64" s="89" t="str">
        <f t="shared" si="0"/>
        <v>H</v>
      </c>
    </row>
    <row r="65" spans="1:15" x14ac:dyDescent="0.2">
      <c r="A65" s="95">
        <v>141011</v>
      </c>
      <c r="B65" s="77">
        <v>1551</v>
      </c>
      <c r="C65" s="77">
        <v>141</v>
      </c>
      <c r="D65" s="77" t="s">
        <v>295</v>
      </c>
      <c r="E65" s="77" t="s">
        <v>296</v>
      </c>
      <c r="F65" s="78">
        <v>0</v>
      </c>
      <c r="G65" s="78">
        <v>0</v>
      </c>
      <c r="H65" s="78">
        <v>0</v>
      </c>
      <c r="I65" s="78">
        <v>0</v>
      </c>
      <c r="J65" s="78">
        <v>0</v>
      </c>
      <c r="K65" s="78" t="e">
        <f>SUMIFS(#REF!,#REF!,MLS!A65)</f>
        <v>#REF!</v>
      </c>
      <c r="L65" s="78" t="e">
        <f>SUMIFS(#REF!,#REF!,MLS!A65)</f>
        <v>#REF!</v>
      </c>
      <c r="M65" s="78">
        <v>0</v>
      </c>
      <c r="N65" s="78">
        <f>ROUND(SUMIFS(TB_Convert!M:M,TB_Convert!A:A,A65),0)</f>
        <v>0</v>
      </c>
      <c r="O65" s="89" t="str">
        <f t="shared" si="0"/>
        <v>H</v>
      </c>
    </row>
    <row r="66" spans="1:15" x14ac:dyDescent="0.2">
      <c r="A66" s="95">
        <v>141012</v>
      </c>
      <c r="B66" s="77">
        <v>1557</v>
      </c>
      <c r="C66" s="77">
        <v>141</v>
      </c>
      <c r="D66" s="77" t="s">
        <v>297</v>
      </c>
      <c r="E66" s="77" t="s">
        <v>298</v>
      </c>
      <c r="F66" s="78">
        <v>0</v>
      </c>
      <c r="G66" s="78">
        <v>0</v>
      </c>
      <c r="H66" s="78">
        <v>0</v>
      </c>
      <c r="I66" s="78">
        <v>0</v>
      </c>
      <c r="J66" s="78">
        <v>0</v>
      </c>
      <c r="K66" s="78" t="e">
        <f>SUMIFS(#REF!,#REF!,MLS!A66)</f>
        <v>#REF!</v>
      </c>
      <c r="L66" s="78" t="e">
        <f>SUMIFS(#REF!,#REF!,MLS!A66)</f>
        <v>#REF!</v>
      </c>
      <c r="M66" s="78">
        <v>0</v>
      </c>
      <c r="N66" s="78">
        <f>ROUND(SUMIFS(TB_Convert!M:M,TB_Convert!A:A,A66),0)</f>
        <v>0</v>
      </c>
      <c r="O66" s="89" t="str">
        <f t="shared" si="0"/>
        <v>H</v>
      </c>
    </row>
    <row r="67" spans="1:15" x14ac:dyDescent="0.2">
      <c r="A67" s="79"/>
      <c r="B67" s="80"/>
      <c r="C67" s="80"/>
      <c r="D67" s="80" t="s">
        <v>299</v>
      </c>
      <c r="E67" s="80" t="s">
        <v>300</v>
      </c>
      <c r="F67" s="81">
        <v>0</v>
      </c>
      <c r="G67" s="81">
        <v>0</v>
      </c>
      <c r="H67" s="81">
        <v>0</v>
      </c>
      <c r="I67" s="81">
        <v>0</v>
      </c>
      <c r="J67" s="81">
        <v>0</v>
      </c>
      <c r="K67" s="81" t="e">
        <f t="shared" ref="K67:M67" si="29">SUM(K65:K66)</f>
        <v>#REF!</v>
      </c>
      <c r="L67" s="81" t="e">
        <f t="shared" si="29"/>
        <v>#REF!</v>
      </c>
      <c r="M67" s="81">
        <v>0</v>
      </c>
      <c r="N67" s="81">
        <f t="shared" ref="N67" si="30">SUM(N65:N66)</f>
        <v>0</v>
      </c>
      <c r="O67" s="89" t="str">
        <f t="shared" si="0"/>
        <v>H</v>
      </c>
    </row>
    <row r="68" spans="1:15" x14ac:dyDescent="0.2">
      <c r="A68" s="95">
        <v>141013</v>
      </c>
      <c r="B68" s="77">
        <v>1561</v>
      </c>
      <c r="C68" s="77">
        <v>141</v>
      </c>
      <c r="D68" s="77" t="s">
        <v>301</v>
      </c>
      <c r="E68" s="77" t="s">
        <v>302</v>
      </c>
      <c r="F68" s="78">
        <v>0</v>
      </c>
      <c r="G68" s="78">
        <v>0</v>
      </c>
      <c r="H68" s="78">
        <v>0</v>
      </c>
      <c r="I68" s="78">
        <v>0</v>
      </c>
      <c r="J68" s="78">
        <v>0</v>
      </c>
      <c r="K68" s="78" t="e">
        <f>SUMIFS(#REF!,#REF!,MLS!A68)</f>
        <v>#REF!</v>
      </c>
      <c r="L68" s="78" t="e">
        <f>SUMIFS(#REF!,#REF!,MLS!A68)</f>
        <v>#REF!</v>
      </c>
      <c r="M68" s="78">
        <v>0</v>
      </c>
      <c r="N68" s="78">
        <f>ROUND(SUMIFS(TB_Convert!M:M,TB_Convert!A:A,A68),0)</f>
        <v>0</v>
      </c>
      <c r="O68" s="89" t="str">
        <f t="shared" si="0"/>
        <v>H</v>
      </c>
    </row>
    <row r="69" spans="1:15" x14ac:dyDescent="0.2">
      <c r="A69" s="95">
        <v>141014</v>
      </c>
      <c r="B69" s="77">
        <v>1562</v>
      </c>
      <c r="C69" s="77">
        <v>141</v>
      </c>
      <c r="D69" s="77" t="s">
        <v>303</v>
      </c>
      <c r="E69" s="77" t="s">
        <v>304</v>
      </c>
      <c r="F69" s="78">
        <v>0</v>
      </c>
      <c r="G69" s="78">
        <v>0</v>
      </c>
      <c r="H69" s="78">
        <v>0</v>
      </c>
      <c r="I69" s="78">
        <v>0</v>
      </c>
      <c r="J69" s="78">
        <v>0</v>
      </c>
      <c r="K69" s="78" t="e">
        <f>SUMIFS(#REF!,#REF!,MLS!A69)</f>
        <v>#REF!</v>
      </c>
      <c r="L69" s="78" t="e">
        <f>SUMIFS(#REF!,#REF!,MLS!A69)</f>
        <v>#REF!</v>
      </c>
      <c r="M69" s="78">
        <v>0</v>
      </c>
      <c r="N69" s="78">
        <f>ROUND(SUMIFS(TB_Convert!M:M,TB_Convert!A:A,A69),0)</f>
        <v>0</v>
      </c>
      <c r="O69" s="89" t="str">
        <f t="shared" si="0"/>
        <v>H</v>
      </c>
    </row>
    <row r="70" spans="1:15" x14ac:dyDescent="0.2">
      <c r="A70" s="95">
        <v>141015</v>
      </c>
      <c r="B70" s="77">
        <v>1567</v>
      </c>
      <c r="C70" s="77">
        <v>141</v>
      </c>
      <c r="D70" s="77" t="s">
        <v>305</v>
      </c>
      <c r="E70" s="77" t="s">
        <v>306</v>
      </c>
      <c r="F70" s="78">
        <v>0</v>
      </c>
      <c r="G70" s="78">
        <v>0</v>
      </c>
      <c r="H70" s="78">
        <v>0</v>
      </c>
      <c r="I70" s="78">
        <v>0</v>
      </c>
      <c r="J70" s="78">
        <v>0</v>
      </c>
      <c r="K70" s="78" t="e">
        <f>SUMIFS(#REF!,#REF!,MLS!A70)</f>
        <v>#REF!</v>
      </c>
      <c r="L70" s="78" t="e">
        <f>SUMIFS(#REF!,#REF!,MLS!A70)</f>
        <v>#REF!</v>
      </c>
      <c r="M70" s="78">
        <v>0</v>
      </c>
      <c r="N70" s="78">
        <f>ROUND(SUMIFS(TB_Convert!M:M,TB_Convert!A:A,A70),0)</f>
        <v>0</v>
      </c>
      <c r="O70" s="89" t="str">
        <f t="shared" si="0"/>
        <v>H</v>
      </c>
    </row>
    <row r="71" spans="1:15" x14ac:dyDescent="0.2">
      <c r="A71" s="79"/>
      <c r="B71" s="80"/>
      <c r="C71" s="80"/>
      <c r="D71" s="80" t="s">
        <v>307</v>
      </c>
      <c r="E71" s="80" t="s">
        <v>308</v>
      </c>
      <c r="F71" s="81">
        <v>0</v>
      </c>
      <c r="G71" s="81">
        <v>0</v>
      </c>
      <c r="H71" s="81">
        <v>0</v>
      </c>
      <c r="I71" s="81">
        <v>0</v>
      </c>
      <c r="J71" s="81">
        <v>0</v>
      </c>
      <c r="K71" s="81" t="e">
        <f t="shared" ref="K71:M71" si="31">SUM(K68:K70)</f>
        <v>#REF!</v>
      </c>
      <c r="L71" s="81" t="e">
        <f t="shared" si="31"/>
        <v>#REF!</v>
      </c>
      <c r="M71" s="81">
        <v>0</v>
      </c>
      <c r="N71" s="81">
        <f t="shared" ref="N71" si="32">SUM(N68:N70)</f>
        <v>0</v>
      </c>
      <c r="O71" s="89" t="str">
        <f t="shared" si="0"/>
        <v>H</v>
      </c>
    </row>
    <row r="72" spans="1:15" x14ac:dyDescent="0.2">
      <c r="A72" s="79">
        <v>141016</v>
      </c>
      <c r="B72" s="80">
        <v>157</v>
      </c>
      <c r="C72" s="80">
        <v>141</v>
      </c>
      <c r="D72" s="80" t="s">
        <v>309</v>
      </c>
      <c r="E72" s="80" t="s">
        <v>310</v>
      </c>
      <c r="F72" s="81">
        <v>0</v>
      </c>
      <c r="G72" s="81">
        <v>0</v>
      </c>
      <c r="H72" s="81">
        <v>0</v>
      </c>
      <c r="I72" s="81">
        <v>0</v>
      </c>
      <c r="J72" s="81">
        <v>0</v>
      </c>
      <c r="K72" s="338" t="e">
        <f>SUMIFS(#REF!,#REF!,MLS!A72)</f>
        <v>#REF!</v>
      </c>
      <c r="L72" s="338" t="e">
        <f>SUMIFS(#REF!,#REF!,MLS!A72)</f>
        <v>#REF!</v>
      </c>
      <c r="M72" s="81">
        <v>0</v>
      </c>
      <c r="N72" s="81">
        <f ca="1">SUMIF(TB_Convert!$A$4:$K$86,MLS!E72,TB_Convert!$K$4:$K$86)</f>
        <v>0</v>
      </c>
      <c r="O72" s="89" t="str">
        <f t="shared" si="0"/>
        <v>H</v>
      </c>
    </row>
    <row r="73" spans="1:15" x14ac:dyDescent="0.2">
      <c r="A73" s="79">
        <v>141017</v>
      </c>
      <c r="B73" s="80">
        <v>158</v>
      </c>
      <c r="C73" s="80">
        <v>141</v>
      </c>
      <c r="D73" s="80" t="s">
        <v>311</v>
      </c>
      <c r="E73" s="80" t="s">
        <v>312</v>
      </c>
      <c r="F73" s="81">
        <v>0</v>
      </c>
      <c r="G73" s="81">
        <v>0</v>
      </c>
      <c r="H73" s="81">
        <v>0</v>
      </c>
      <c r="I73" s="81">
        <v>0</v>
      </c>
      <c r="J73" s="81">
        <v>0</v>
      </c>
      <c r="K73" s="338" t="e">
        <f>SUMIFS(#REF!,#REF!,MLS!A73)</f>
        <v>#REF!</v>
      </c>
      <c r="L73" s="338" t="e">
        <f>SUMIFS(#REF!,#REF!,MLS!A73)</f>
        <v>#REF!</v>
      </c>
      <c r="M73" s="81">
        <v>0</v>
      </c>
      <c r="N73" s="81">
        <f ca="1">SUMIF(TB_Convert!$A$4:$K$86,MLS!E73,TB_Convert!$K$4:$K$86)</f>
        <v>0</v>
      </c>
      <c r="O73" s="89" t="str">
        <f t="shared" ref="O73:O136" si="33">IF(SUM(F73:J73)=0,"H","S")</f>
        <v>H</v>
      </c>
    </row>
    <row r="74" spans="1:15" x14ac:dyDescent="0.2">
      <c r="A74" s="90"/>
      <c r="B74" s="84"/>
      <c r="C74" s="84"/>
      <c r="D74" s="84" t="s">
        <v>20</v>
      </c>
      <c r="E74" s="84" t="s">
        <v>136</v>
      </c>
      <c r="F74" s="85">
        <v>0</v>
      </c>
      <c r="G74" s="85">
        <v>0</v>
      </c>
      <c r="H74" s="85">
        <v>0</v>
      </c>
      <c r="I74" s="85">
        <v>0</v>
      </c>
      <c r="J74" s="85">
        <v>0</v>
      </c>
      <c r="K74" s="85" t="e">
        <f t="shared" ref="K74:M74" si="34">SUM(K53:K54,K59,K64,K67,K71:K73)</f>
        <v>#REF!</v>
      </c>
      <c r="L74" s="85" t="e">
        <f t="shared" si="34"/>
        <v>#REF!</v>
      </c>
      <c r="M74" s="85">
        <v>0</v>
      </c>
      <c r="N74" s="85">
        <f t="shared" ref="N74" ca="1" si="35">SUM(N53:N54,N59,N64,N67,N71:N73)</f>
        <v>0</v>
      </c>
      <c r="O74" s="89" t="str">
        <f t="shared" si="33"/>
        <v>H</v>
      </c>
    </row>
    <row r="75" spans="1:15" x14ac:dyDescent="0.2">
      <c r="A75" s="79">
        <v>149001</v>
      </c>
      <c r="B75" s="98">
        <v>2294</v>
      </c>
      <c r="C75" s="80">
        <v>149</v>
      </c>
      <c r="D75" s="80" t="s">
        <v>21</v>
      </c>
      <c r="E75" s="80" t="s">
        <v>137</v>
      </c>
      <c r="F75" s="81">
        <v>0</v>
      </c>
      <c r="G75" s="81">
        <v>0</v>
      </c>
      <c r="H75" s="81">
        <v>0</v>
      </c>
      <c r="I75" s="81">
        <v>0</v>
      </c>
      <c r="J75" s="81">
        <v>0</v>
      </c>
      <c r="K75" s="338" t="e">
        <f>SUMIFS(#REF!,#REF!,MLS!A75)</f>
        <v>#REF!</v>
      </c>
      <c r="L75" s="338" t="e">
        <f>SUMIFS(#REF!,#REF!,MLS!A75)</f>
        <v>#REF!</v>
      </c>
      <c r="M75" s="81">
        <v>0</v>
      </c>
      <c r="N75" s="81">
        <f ca="1">SUMIF(TB_Convert!$A$4:$K$86,MLS!E75,TB_Convert!$K$4:$K$86)</f>
        <v>0</v>
      </c>
      <c r="O75" s="89" t="str">
        <f t="shared" si="33"/>
        <v>H</v>
      </c>
    </row>
    <row r="76" spans="1:15" x14ac:dyDescent="0.2">
      <c r="A76" s="97"/>
      <c r="B76" s="93"/>
      <c r="C76" s="93">
        <v>140</v>
      </c>
      <c r="D76" s="93" t="s">
        <v>20</v>
      </c>
      <c r="E76" s="93" t="s">
        <v>136</v>
      </c>
      <c r="F76" s="94">
        <v>0</v>
      </c>
      <c r="G76" s="94">
        <v>0</v>
      </c>
      <c r="H76" s="94">
        <v>0</v>
      </c>
      <c r="I76" s="94">
        <v>0</v>
      </c>
      <c r="J76" s="94">
        <v>0</v>
      </c>
      <c r="K76" s="94" t="e">
        <f t="shared" ref="K76:M76" si="36">SUM(K74:K75)</f>
        <v>#REF!</v>
      </c>
      <c r="L76" s="94" t="e">
        <f t="shared" si="36"/>
        <v>#REF!</v>
      </c>
      <c r="M76" s="94">
        <v>0</v>
      </c>
      <c r="N76" s="94">
        <f t="shared" ref="N76" ca="1" si="37">SUM(N74:N75)</f>
        <v>0</v>
      </c>
      <c r="O76" s="89" t="str">
        <f t="shared" si="33"/>
        <v>H</v>
      </c>
    </row>
    <row r="77" spans="1:15" x14ac:dyDescent="0.2">
      <c r="A77" s="95"/>
      <c r="N77" s="69">
        <f>ROUND(SUMIFS(TB_Convert!M:M,TB_Convert!A:A,A77),0)</f>
        <v>0</v>
      </c>
      <c r="O77" s="89" t="str">
        <f t="shared" si="33"/>
        <v>H</v>
      </c>
    </row>
    <row r="78" spans="1:15" x14ac:dyDescent="0.2">
      <c r="A78" s="79">
        <v>151001</v>
      </c>
      <c r="B78" s="98">
        <v>2421</v>
      </c>
      <c r="C78" s="80">
        <v>151</v>
      </c>
      <c r="D78" s="80" t="s">
        <v>23</v>
      </c>
      <c r="E78" s="80" t="s">
        <v>139</v>
      </c>
      <c r="F78" s="81">
        <v>0</v>
      </c>
      <c r="G78" s="81">
        <v>0</v>
      </c>
      <c r="H78" s="81">
        <v>0</v>
      </c>
      <c r="I78" s="81">
        <v>0</v>
      </c>
      <c r="J78" s="81">
        <v>0</v>
      </c>
      <c r="K78" s="338" t="e">
        <f>SUMIFS(#REF!,#REF!,MLS!A78)</f>
        <v>#REF!</v>
      </c>
      <c r="L78" s="338" t="e">
        <f>SUMIFS(#REF!,#REF!,MLS!A78)</f>
        <v>#REF!</v>
      </c>
      <c r="M78" s="81">
        <v>0</v>
      </c>
      <c r="N78" s="81">
        <f ca="1">SUMIF(TB_Convert!$A$4:$K$86,MLS!E78,TB_Convert!$K$4:$K$86)</f>
        <v>0</v>
      </c>
      <c r="O78" s="89" t="str">
        <f t="shared" si="33"/>
        <v>H</v>
      </c>
    </row>
    <row r="79" spans="1:15" x14ac:dyDescent="0.2">
      <c r="A79" s="79">
        <v>152002</v>
      </c>
      <c r="B79" s="80">
        <v>133</v>
      </c>
      <c r="C79" s="80">
        <v>152</v>
      </c>
      <c r="D79" s="80" t="s">
        <v>24</v>
      </c>
      <c r="E79" s="80" t="s">
        <v>140</v>
      </c>
      <c r="F79" s="81">
        <v>1259003981</v>
      </c>
      <c r="G79" s="81">
        <v>0</v>
      </c>
      <c r="H79" s="81">
        <v>0</v>
      </c>
      <c r="I79" s="81">
        <v>1259003981</v>
      </c>
      <c r="J79" s="81">
        <v>0</v>
      </c>
      <c r="K79" s="338" t="e">
        <f>SUMIFS(#REF!,#REF!,MLS!A79)</f>
        <v>#REF!</v>
      </c>
      <c r="L79" s="338" t="e">
        <f>SUMIFS(#REF!,#REF!,MLS!A79)</f>
        <v>#REF!</v>
      </c>
      <c r="M79" s="81">
        <v>0</v>
      </c>
      <c r="N79" s="81">
        <f ca="1">SUMIF(TB_Convert!$A$4:$K$86,MLS!E79,TB_Convert!$K$4:$K$86)</f>
        <v>0</v>
      </c>
      <c r="O79" s="89" t="str">
        <f t="shared" si="33"/>
        <v>S</v>
      </c>
    </row>
    <row r="80" spans="1:15" x14ac:dyDescent="0.2">
      <c r="A80" s="95">
        <v>153001</v>
      </c>
      <c r="B80" s="100">
        <v>33311</v>
      </c>
      <c r="C80" s="77">
        <v>153</v>
      </c>
      <c r="D80" s="77" t="s">
        <v>721</v>
      </c>
      <c r="E80" s="77" t="s">
        <v>315</v>
      </c>
      <c r="F80" s="78">
        <v>0</v>
      </c>
      <c r="G80" s="78">
        <v>0</v>
      </c>
      <c r="H80" s="78">
        <v>0</v>
      </c>
      <c r="I80" s="78">
        <v>0</v>
      </c>
      <c r="J80" s="78">
        <v>0</v>
      </c>
      <c r="K80" s="78" t="e">
        <f>SUMIFS(#REF!,#REF!,MLS!A80)</f>
        <v>#REF!</v>
      </c>
      <c r="L80" s="78" t="e">
        <f>SUMIFS(#REF!,#REF!,MLS!A80)</f>
        <v>#REF!</v>
      </c>
      <c r="M80" s="78">
        <v>0</v>
      </c>
      <c r="N80" s="78">
        <f>ROUND(SUMIFS(TB_Convert!M:M,TB_Convert!A:A,A80),0)</f>
        <v>380363644</v>
      </c>
      <c r="O80" s="89" t="str">
        <f t="shared" si="33"/>
        <v>H</v>
      </c>
    </row>
    <row r="81" spans="1:15" x14ac:dyDescent="0.2">
      <c r="A81" s="95">
        <v>153002</v>
      </c>
      <c r="B81" s="100">
        <v>33312</v>
      </c>
      <c r="C81" s="77">
        <v>153</v>
      </c>
      <c r="D81" s="77" t="s">
        <v>706</v>
      </c>
      <c r="E81" s="77" t="s">
        <v>316</v>
      </c>
      <c r="F81" s="78">
        <v>0</v>
      </c>
      <c r="G81" s="78">
        <v>0</v>
      </c>
      <c r="H81" s="78">
        <v>0</v>
      </c>
      <c r="I81" s="78">
        <v>0</v>
      </c>
      <c r="J81" s="78">
        <v>0</v>
      </c>
      <c r="K81" s="78" t="e">
        <f>SUMIFS(#REF!,#REF!,MLS!A81)</f>
        <v>#REF!</v>
      </c>
      <c r="L81" s="78" t="e">
        <f>SUMIFS(#REF!,#REF!,MLS!A81)</f>
        <v>#REF!</v>
      </c>
      <c r="M81" s="78">
        <v>0</v>
      </c>
      <c r="N81" s="78">
        <f>ROUND(SUMIFS(TB_Convert!M:M,TB_Convert!A:A,A81),0)</f>
        <v>0</v>
      </c>
      <c r="O81" s="89" t="str">
        <f t="shared" si="33"/>
        <v>H</v>
      </c>
    </row>
    <row r="82" spans="1:15" x14ac:dyDescent="0.2">
      <c r="A82" s="95">
        <v>153003</v>
      </c>
      <c r="B82" s="100">
        <v>3332</v>
      </c>
      <c r="C82" s="77">
        <v>153</v>
      </c>
      <c r="D82" s="77" t="s">
        <v>707</v>
      </c>
      <c r="E82" s="77" t="s">
        <v>317</v>
      </c>
      <c r="F82" s="78">
        <v>0</v>
      </c>
      <c r="G82" s="78">
        <v>0</v>
      </c>
      <c r="H82" s="78">
        <v>0</v>
      </c>
      <c r="I82" s="78">
        <v>0</v>
      </c>
      <c r="J82" s="78">
        <v>0</v>
      </c>
      <c r="K82" s="78" t="e">
        <f>SUMIFS(#REF!,#REF!,MLS!A82)</f>
        <v>#REF!</v>
      </c>
      <c r="L82" s="78" t="e">
        <f>SUMIFS(#REF!,#REF!,MLS!A82)</f>
        <v>#REF!</v>
      </c>
      <c r="M82" s="78">
        <v>0</v>
      </c>
      <c r="N82" s="78">
        <f>ROUND(SUMIFS(TB_Convert!M:M,TB_Convert!A:A,A82),0)</f>
        <v>0</v>
      </c>
      <c r="O82" s="89" t="str">
        <f t="shared" si="33"/>
        <v>H</v>
      </c>
    </row>
    <row r="83" spans="1:15" x14ac:dyDescent="0.2">
      <c r="A83" s="95">
        <v>153004</v>
      </c>
      <c r="B83" s="100">
        <v>3333</v>
      </c>
      <c r="C83" s="77">
        <v>153</v>
      </c>
      <c r="D83" s="77" t="s">
        <v>708</v>
      </c>
      <c r="E83" s="77" t="s">
        <v>318</v>
      </c>
      <c r="F83" s="78">
        <v>0</v>
      </c>
      <c r="G83" s="78">
        <v>0</v>
      </c>
      <c r="H83" s="78">
        <v>0</v>
      </c>
      <c r="I83" s="78">
        <v>0</v>
      </c>
      <c r="J83" s="78">
        <v>0</v>
      </c>
      <c r="K83" s="78" t="e">
        <f>SUMIFS(#REF!,#REF!,MLS!A83)</f>
        <v>#REF!</v>
      </c>
      <c r="L83" s="78" t="e">
        <f>SUMIFS(#REF!,#REF!,MLS!A83)</f>
        <v>#REF!</v>
      </c>
      <c r="M83" s="78">
        <v>0</v>
      </c>
      <c r="N83" s="78">
        <f>ROUND(SUMIFS(TB_Convert!M:M,TB_Convert!A:A,A83),0)</f>
        <v>0</v>
      </c>
      <c r="O83" s="89" t="str">
        <f t="shared" si="33"/>
        <v>H</v>
      </c>
    </row>
    <row r="84" spans="1:15" x14ac:dyDescent="0.2">
      <c r="A84" s="95">
        <v>153005</v>
      </c>
      <c r="B84" s="100">
        <v>3334</v>
      </c>
      <c r="C84" s="77">
        <v>153</v>
      </c>
      <c r="D84" s="77" t="s">
        <v>722</v>
      </c>
      <c r="E84" s="77" t="s">
        <v>319</v>
      </c>
      <c r="F84" s="78">
        <v>0</v>
      </c>
      <c r="G84" s="78">
        <v>0</v>
      </c>
      <c r="H84" s="78">
        <v>0</v>
      </c>
      <c r="I84" s="78">
        <v>0</v>
      </c>
      <c r="J84" s="78">
        <v>0</v>
      </c>
      <c r="K84" s="78" t="e">
        <f>SUMIFS(#REF!,#REF!,MLS!A84)</f>
        <v>#REF!</v>
      </c>
      <c r="L84" s="78" t="e">
        <f>SUMIFS(#REF!,#REF!,MLS!A84)</f>
        <v>#REF!</v>
      </c>
      <c r="M84" s="78">
        <v>0</v>
      </c>
      <c r="N84" s="78">
        <f>ROUND(SUMIFS(TB_Convert!M:M,TB_Convert!A:A,A84),0)</f>
        <v>0</v>
      </c>
      <c r="O84" s="89" t="str">
        <f t="shared" si="33"/>
        <v>H</v>
      </c>
    </row>
    <row r="85" spans="1:15" x14ac:dyDescent="0.2">
      <c r="A85" s="95">
        <v>153006</v>
      </c>
      <c r="B85" s="100">
        <v>3335</v>
      </c>
      <c r="C85" s="77">
        <v>153</v>
      </c>
      <c r="D85" s="77" t="s">
        <v>723</v>
      </c>
      <c r="E85" s="77" t="s">
        <v>320</v>
      </c>
      <c r="F85" s="78">
        <v>0</v>
      </c>
      <c r="G85" s="78">
        <v>0</v>
      </c>
      <c r="H85" s="78">
        <v>0</v>
      </c>
      <c r="I85" s="78">
        <v>0</v>
      </c>
      <c r="J85" s="78">
        <v>0</v>
      </c>
      <c r="K85" s="78" t="e">
        <f>SUMIFS(#REF!,#REF!,MLS!A85)</f>
        <v>#REF!</v>
      </c>
      <c r="L85" s="78" t="e">
        <f>SUMIFS(#REF!,#REF!,MLS!A85)</f>
        <v>#REF!</v>
      </c>
      <c r="M85" s="78">
        <v>0</v>
      </c>
      <c r="N85" s="78">
        <f>ROUND(SUMIFS(TB_Convert!M:M,TB_Convert!A:A,A85),0)</f>
        <v>0</v>
      </c>
      <c r="O85" s="89" t="str">
        <f t="shared" si="33"/>
        <v>H</v>
      </c>
    </row>
    <row r="86" spans="1:15" x14ac:dyDescent="0.2">
      <c r="A86" s="95">
        <v>153007</v>
      </c>
      <c r="B86" s="100">
        <v>3336</v>
      </c>
      <c r="C86" s="77">
        <v>153</v>
      </c>
      <c r="D86" s="77" t="s">
        <v>709</v>
      </c>
      <c r="E86" s="77" t="s">
        <v>321</v>
      </c>
      <c r="F86" s="78">
        <v>0</v>
      </c>
      <c r="G86" s="78">
        <v>0</v>
      </c>
      <c r="H86" s="78">
        <v>0</v>
      </c>
      <c r="I86" s="78">
        <v>0</v>
      </c>
      <c r="J86" s="78">
        <v>0</v>
      </c>
      <c r="K86" s="78" t="e">
        <f>SUMIFS(#REF!,#REF!,MLS!A86)</f>
        <v>#REF!</v>
      </c>
      <c r="L86" s="78" t="e">
        <f>SUMIFS(#REF!,#REF!,MLS!A86)</f>
        <v>#REF!</v>
      </c>
      <c r="M86" s="78">
        <v>0</v>
      </c>
      <c r="N86" s="78">
        <f>ROUND(SUMIFS(TB_Convert!M:M,TB_Convert!A:A,A86),0)</f>
        <v>0</v>
      </c>
      <c r="O86" s="89" t="str">
        <f t="shared" si="33"/>
        <v>H</v>
      </c>
    </row>
    <row r="87" spans="1:15" x14ac:dyDescent="0.2">
      <c r="A87" s="95">
        <v>153008</v>
      </c>
      <c r="B87" s="100">
        <v>3337</v>
      </c>
      <c r="C87" s="77">
        <v>153</v>
      </c>
      <c r="D87" s="77" t="s">
        <v>710</v>
      </c>
      <c r="E87" s="77" t="s">
        <v>322</v>
      </c>
      <c r="F87" s="78">
        <v>0</v>
      </c>
      <c r="G87" s="78">
        <v>0</v>
      </c>
      <c r="H87" s="78">
        <v>0</v>
      </c>
      <c r="I87" s="78">
        <v>0</v>
      </c>
      <c r="J87" s="78">
        <v>0</v>
      </c>
      <c r="K87" s="78" t="e">
        <f>SUMIFS(#REF!,#REF!,MLS!A87)</f>
        <v>#REF!</v>
      </c>
      <c r="L87" s="78" t="e">
        <f>SUMIFS(#REF!,#REF!,MLS!A87)</f>
        <v>#REF!</v>
      </c>
      <c r="M87" s="78">
        <v>0</v>
      </c>
      <c r="N87" s="78">
        <f>ROUND(SUMIFS(TB_Convert!M:M,TB_Convert!A:A,A87),0)</f>
        <v>0</v>
      </c>
      <c r="O87" s="89" t="str">
        <f t="shared" si="33"/>
        <v>H</v>
      </c>
    </row>
    <row r="88" spans="1:15" x14ac:dyDescent="0.2">
      <c r="A88" s="95">
        <v>153009</v>
      </c>
      <c r="B88" s="100">
        <v>3338</v>
      </c>
      <c r="C88" s="77">
        <v>153</v>
      </c>
      <c r="D88" s="77" t="s">
        <v>711</v>
      </c>
      <c r="E88" s="77" t="s">
        <v>323</v>
      </c>
      <c r="F88" s="78">
        <v>0</v>
      </c>
      <c r="G88" s="78">
        <v>0</v>
      </c>
      <c r="H88" s="78">
        <v>0</v>
      </c>
      <c r="I88" s="78">
        <v>0</v>
      </c>
      <c r="J88" s="78">
        <v>0</v>
      </c>
      <c r="K88" s="78" t="e">
        <f>SUMIFS(#REF!,#REF!,MLS!A88)</f>
        <v>#REF!</v>
      </c>
      <c r="L88" s="78" t="e">
        <f>SUMIFS(#REF!,#REF!,MLS!A88)</f>
        <v>#REF!</v>
      </c>
      <c r="M88" s="78">
        <v>0</v>
      </c>
      <c r="N88" s="78">
        <f>ROUND(SUMIFS(TB_Convert!M:M,TB_Convert!A:A,A88),0)</f>
        <v>0</v>
      </c>
      <c r="O88" s="89" t="str">
        <f t="shared" si="33"/>
        <v>H</v>
      </c>
    </row>
    <row r="89" spans="1:15" x14ac:dyDescent="0.2">
      <c r="A89" s="79"/>
      <c r="B89" s="80"/>
      <c r="C89" s="80"/>
      <c r="D89" s="80" t="s">
        <v>25</v>
      </c>
      <c r="E89" s="80" t="s">
        <v>141</v>
      </c>
      <c r="F89" s="81">
        <v>0</v>
      </c>
      <c r="G89" s="81">
        <v>0</v>
      </c>
      <c r="H89" s="81">
        <v>0</v>
      </c>
      <c r="I89" s="81">
        <v>0</v>
      </c>
      <c r="J89" s="81">
        <v>0</v>
      </c>
      <c r="K89" s="81" t="e">
        <f t="shared" ref="K89:M89" si="38">SUM(K80:K88)</f>
        <v>#REF!</v>
      </c>
      <c r="L89" s="81" t="e">
        <f t="shared" si="38"/>
        <v>#REF!</v>
      </c>
      <c r="M89" s="81">
        <v>0</v>
      </c>
      <c r="N89" s="81">
        <f t="shared" ref="N89" si="39">SUM(N80:N88)</f>
        <v>380363644</v>
      </c>
      <c r="O89" s="89" t="str">
        <f t="shared" si="33"/>
        <v>H</v>
      </c>
    </row>
    <row r="90" spans="1:15" x14ac:dyDescent="0.2">
      <c r="A90" s="79">
        <v>154001</v>
      </c>
      <c r="B90" s="80">
        <v>171</v>
      </c>
      <c r="C90" s="80">
        <v>154</v>
      </c>
      <c r="D90" s="80" t="s">
        <v>26</v>
      </c>
      <c r="E90" s="80" t="s">
        <v>142</v>
      </c>
      <c r="F90" s="81">
        <v>0</v>
      </c>
      <c r="G90" s="81">
        <v>0</v>
      </c>
      <c r="H90" s="81">
        <v>0</v>
      </c>
      <c r="I90" s="81">
        <v>0</v>
      </c>
      <c r="J90" s="81">
        <v>0</v>
      </c>
      <c r="K90" s="338" t="e">
        <f>SUMIFS(#REF!,#REF!,MLS!A90)</f>
        <v>#REF!</v>
      </c>
      <c r="L90" s="338" t="e">
        <f>SUMIFS(#REF!,#REF!,MLS!A90)</f>
        <v>#REF!</v>
      </c>
      <c r="M90" s="81">
        <v>0</v>
      </c>
      <c r="N90" s="81">
        <f ca="1">SUMIF(TB_Convert!$A$4:$K$86,MLS!E90,TB_Convert!$K$4:$K$86)</f>
        <v>0</v>
      </c>
      <c r="O90" s="89" t="str">
        <f t="shared" si="33"/>
        <v>H</v>
      </c>
    </row>
    <row r="91" spans="1:15" x14ac:dyDescent="0.2">
      <c r="A91" s="79">
        <v>155001</v>
      </c>
      <c r="B91" s="98">
        <v>2288</v>
      </c>
      <c r="C91" s="80">
        <v>155</v>
      </c>
      <c r="D91" s="80" t="s">
        <v>22</v>
      </c>
      <c r="E91" s="80" t="s">
        <v>138</v>
      </c>
      <c r="F91" s="81">
        <v>0</v>
      </c>
      <c r="G91" s="81">
        <v>0</v>
      </c>
      <c r="H91" s="81">
        <v>0</v>
      </c>
      <c r="I91" s="81">
        <v>0</v>
      </c>
      <c r="J91" s="81">
        <v>0</v>
      </c>
      <c r="K91" s="338" t="e">
        <f>SUMIFS(#REF!,#REF!,MLS!A91)</f>
        <v>#REF!</v>
      </c>
      <c r="L91" s="338" t="e">
        <f>SUMIFS(#REF!,#REF!,MLS!A91)</f>
        <v>#REF!</v>
      </c>
      <c r="M91" s="81">
        <v>0</v>
      </c>
      <c r="N91" s="81">
        <f ca="1">SUMIF(TB_Convert!$A$4:$K$86,MLS!E91,TB_Convert!$K$4:$K$86)</f>
        <v>0</v>
      </c>
      <c r="O91" s="89" t="str">
        <f t="shared" si="33"/>
        <v>H</v>
      </c>
    </row>
    <row r="92" spans="1:15" x14ac:dyDescent="0.2">
      <c r="A92" s="97"/>
      <c r="B92" s="93"/>
      <c r="C92" s="93">
        <v>150</v>
      </c>
      <c r="D92" s="93" t="s">
        <v>22</v>
      </c>
      <c r="E92" s="93" t="s">
        <v>138</v>
      </c>
      <c r="F92" s="94">
        <v>1259003981</v>
      </c>
      <c r="G92" s="94">
        <v>0</v>
      </c>
      <c r="H92" s="94">
        <v>0</v>
      </c>
      <c r="I92" s="94">
        <v>1259003981</v>
      </c>
      <c r="J92" s="94">
        <v>0</v>
      </c>
      <c r="K92" s="94" t="e">
        <f t="shared" ref="K92:M92" si="40">SUM(K78:K79,K89:K91)</f>
        <v>#REF!</v>
      </c>
      <c r="L92" s="94" t="e">
        <f t="shared" si="40"/>
        <v>#REF!</v>
      </c>
      <c r="M92" s="94">
        <v>0</v>
      </c>
      <c r="N92" s="94">
        <f t="shared" ref="N92" ca="1" si="41">SUM(N78:N79,N89:N91)</f>
        <v>380363644</v>
      </c>
      <c r="O92" s="89" t="str">
        <f t="shared" si="33"/>
        <v>S</v>
      </c>
    </row>
    <row r="93" spans="1:15" x14ac:dyDescent="0.2">
      <c r="A93" s="101"/>
      <c r="B93" s="102"/>
      <c r="C93" s="102">
        <v>100</v>
      </c>
      <c r="D93" s="102" t="s">
        <v>113</v>
      </c>
      <c r="E93" s="102" t="s">
        <v>324</v>
      </c>
      <c r="F93" s="103">
        <v>-35745529379</v>
      </c>
      <c r="G93" s="103">
        <v>37643477124</v>
      </c>
      <c r="H93" s="103">
        <v>-11181683</v>
      </c>
      <c r="I93" s="103">
        <v>1886766062</v>
      </c>
      <c r="J93" s="103">
        <v>9751229551</v>
      </c>
      <c r="K93" s="103" t="e">
        <f t="shared" ref="K93:M93" si="42">SUM(K23,K33,K51,K76,K92)</f>
        <v>#REF!</v>
      </c>
      <c r="L93" s="103" t="e">
        <f t="shared" si="42"/>
        <v>#REF!</v>
      </c>
      <c r="M93" s="103">
        <v>9751229551</v>
      </c>
      <c r="N93" s="103">
        <f t="shared" ref="N93" ca="1" si="43">SUM(N23,N33,N51,N76,N92)</f>
        <v>60567478250</v>
      </c>
      <c r="O93" s="89" t="str">
        <f t="shared" si="33"/>
        <v>S</v>
      </c>
    </row>
    <row r="94" spans="1:15" x14ac:dyDescent="0.2">
      <c r="A94" s="95"/>
      <c r="N94" s="69">
        <f>ROUND(SUMIFS(TB_Convert!M:M,TB_Convert!A:A,A94),0)</f>
        <v>0</v>
      </c>
      <c r="O94" s="89" t="str">
        <f t="shared" si="33"/>
        <v>H</v>
      </c>
    </row>
    <row r="95" spans="1:15" x14ac:dyDescent="0.2">
      <c r="A95" s="95"/>
      <c r="D95" s="70" t="s">
        <v>27</v>
      </c>
      <c r="E95" s="70" t="s">
        <v>143</v>
      </c>
      <c r="N95" s="69">
        <f>ROUND(SUMIFS(TB_Convert!M:M,TB_Convert!A:A,A95),0)</f>
        <v>0</v>
      </c>
      <c r="O95" s="89" t="str">
        <f t="shared" si="33"/>
        <v>H</v>
      </c>
    </row>
    <row r="96" spans="1:15" x14ac:dyDescent="0.2">
      <c r="A96" s="79">
        <v>211001</v>
      </c>
      <c r="B96" s="98">
        <v>1312</v>
      </c>
      <c r="C96" s="80">
        <v>211</v>
      </c>
      <c r="D96" s="80" t="s">
        <v>29</v>
      </c>
      <c r="E96" s="80" t="s">
        <v>146</v>
      </c>
      <c r="F96" s="81">
        <v>0</v>
      </c>
      <c r="G96" s="81">
        <v>0</v>
      </c>
      <c r="H96" s="81">
        <v>0</v>
      </c>
      <c r="I96" s="81">
        <v>0</v>
      </c>
      <c r="J96" s="81">
        <v>0</v>
      </c>
      <c r="K96" s="338" t="e">
        <f>SUMIFS(#REF!,#REF!,MLS!A96)</f>
        <v>#REF!</v>
      </c>
      <c r="L96" s="338" t="e">
        <f>SUMIFS(#REF!,#REF!,MLS!A96)</f>
        <v>#REF!</v>
      </c>
      <c r="M96" s="81">
        <v>0</v>
      </c>
      <c r="N96" s="81">
        <f ca="1">SUMIF(TB_Convert!$A$4:$K$86,MLS!E96,TB_Convert!$K$4:$K$86)</f>
        <v>0</v>
      </c>
      <c r="O96" s="89" t="str">
        <f t="shared" si="33"/>
        <v>H</v>
      </c>
    </row>
    <row r="97" spans="1:15" x14ac:dyDescent="0.2">
      <c r="A97" s="79">
        <v>212001</v>
      </c>
      <c r="B97" s="98">
        <v>3312</v>
      </c>
      <c r="C97" s="80">
        <v>212</v>
      </c>
      <c r="D97" s="80" t="s">
        <v>30</v>
      </c>
      <c r="E97" s="80" t="s">
        <v>147</v>
      </c>
      <c r="F97" s="81">
        <v>0</v>
      </c>
      <c r="G97" s="81">
        <v>0</v>
      </c>
      <c r="H97" s="81">
        <v>0</v>
      </c>
      <c r="I97" s="81">
        <v>0</v>
      </c>
      <c r="J97" s="81">
        <v>0</v>
      </c>
      <c r="K97" s="338" t="e">
        <f>SUMIFS(#REF!,#REF!,MLS!A97)</f>
        <v>#REF!</v>
      </c>
      <c r="L97" s="338" t="e">
        <f>SUMIFS(#REF!,#REF!,MLS!A97)</f>
        <v>#REF!</v>
      </c>
      <c r="M97" s="81">
        <v>0</v>
      </c>
      <c r="N97" s="81">
        <f ca="1">SUMIF(TB_Convert!$A$4:$K$86,MLS!E97,TB_Convert!$K$4:$K$86)</f>
        <v>0</v>
      </c>
      <c r="O97" s="89" t="str">
        <f t="shared" si="33"/>
        <v>H</v>
      </c>
    </row>
    <row r="98" spans="1:15" x14ac:dyDescent="0.2">
      <c r="A98" s="79">
        <v>213001</v>
      </c>
      <c r="B98" s="80">
        <v>1361</v>
      </c>
      <c r="C98" s="80">
        <v>213</v>
      </c>
      <c r="D98" s="80" t="s">
        <v>31</v>
      </c>
      <c r="E98" s="80" t="s">
        <v>148</v>
      </c>
      <c r="F98" s="81">
        <v>0</v>
      </c>
      <c r="G98" s="81">
        <v>0</v>
      </c>
      <c r="H98" s="81">
        <v>0</v>
      </c>
      <c r="I98" s="81">
        <v>0</v>
      </c>
      <c r="J98" s="81">
        <v>0</v>
      </c>
      <c r="K98" s="338" t="e">
        <f>SUMIFS(#REF!,#REF!,MLS!A98)</f>
        <v>#REF!</v>
      </c>
      <c r="L98" s="338" t="e">
        <f>SUMIFS(#REF!,#REF!,MLS!A98)</f>
        <v>#REF!</v>
      </c>
      <c r="M98" s="81">
        <v>0</v>
      </c>
      <c r="N98" s="81">
        <f ca="1">SUMIF(TB_Convert!$A$4:$K$86,MLS!E98,TB_Convert!$K$4:$K$86)</f>
        <v>0</v>
      </c>
      <c r="O98" s="89" t="str">
        <f t="shared" si="33"/>
        <v>H</v>
      </c>
    </row>
    <row r="99" spans="1:15" x14ac:dyDescent="0.2">
      <c r="A99" s="95">
        <v>214001</v>
      </c>
      <c r="B99" s="104">
        <v>13622</v>
      </c>
      <c r="C99" s="68">
        <v>214</v>
      </c>
      <c r="D99" s="77" t="s">
        <v>257</v>
      </c>
      <c r="E99" s="77" t="s">
        <v>258</v>
      </c>
      <c r="F99" s="78">
        <v>0</v>
      </c>
      <c r="G99" s="78">
        <v>0</v>
      </c>
      <c r="H99" s="78">
        <v>0</v>
      </c>
      <c r="I99" s="78">
        <v>0</v>
      </c>
      <c r="J99" s="78">
        <v>0</v>
      </c>
      <c r="K99" s="78" t="e">
        <f>SUMIFS(#REF!,#REF!,MLS!A99)</f>
        <v>#REF!</v>
      </c>
      <c r="L99" s="78" t="e">
        <f>SUMIFS(#REF!,#REF!,MLS!A99)</f>
        <v>#REF!</v>
      </c>
      <c r="M99" s="78">
        <v>0</v>
      </c>
      <c r="N99" s="78">
        <f>ROUND(SUMIFS(TB_Convert!M:M,TB_Convert!A:A,A99),0)</f>
        <v>0</v>
      </c>
      <c r="O99" s="89" t="str">
        <f t="shared" si="33"/>
        <v>H</v>
      </c>
    </row>
    <row r="100" spans="1:15" x14ac:dyDescent="0.2">
      <c r="A100" s="95">
        <v>214002</v>
      </c>
      <c r="B100" s="104">
        <v>13632</v>
      </c>
      <c r="C100" s="68">
        <v>214</v>
      </c>
      <c r="D100" s="77" t="s">
        <v>259</v>
      </c>
      <c r="E100" s="77" t="s">
        <v>260</v>
      </c>
      <c r="F100" s="78">
        <v>0</v>
      </c>
      <c r="G100" s="78">
        <v>0</v>
      </c>
      <c r="H100" s="78">
        <v>0</v>
      </c>
      <c r="I100" s="78">
        <v>0</v>
      </c>
      <c r="J100" s="78">
        <v>0</v>
      </c>
      <c r="K100" s="78" t="e">
        <f>SUMIFS(#REF!,#REF!,MLS!A100)</f>
        <v>#REF!</v>
      </c>
      <c r="L100" s="78" t="e">
        <f>SUMIFS(#REF!,#REF!,MLS!A100)</f>
        <v>#REF!</v>
      </c>
      <c r="M100" s="78">
        <v>0</v>
      </c>
      <c r="N100" s="78">
        <f>ROUND(SUMIFS(TB_Convert!M:M,TB_Convert!A:A,A100),0)</f>
        <v>0</v>
      </c>
      <c r="O100" s="89" t="str">
        <f t="shared" si="33"/>
        <v>H</v>
      </c>
    </row>
    <row r="101" spans="1:15" x14ac:dyDescent="0.2">
      <c r="A101" s="95">
        <v>214003</v>
      </c>
      <c r="B101" s="104">
        <v>13682</v>
      </c>
      <c r="C101" s="68">
        <v>214</v>
      </c>
      <c r="D101" s="77" t="s">
        <v>261</v>
      </c>
      <c r="E101" s="77" t="s">
        <v>262</v>
      </c>
      <c r="F101" s="78">
        <v>0</v>
      </c>
      <c r="G101" s="78">
        <v>0</v>
      </c>
      <c r="H101" s="78">
        <v>0</v>
      </c>
      <c r="I101" s="78">
        <v>0</v>
      </c>
      <c r="J101" s="78">
        <v>0</v>
      </c>
      <c r="K101" s="78" t="e">
        <f>SUMIFS(#REF!,#REF!,MLS!A101)</f>
        <v>#REF!</v>
      </c>
      <c r="L101" s="78" t="e">
        <f>SUMIFS(#REF!,#REF!,MLS!A101)</f>
        <v>#REF!</v>
      </c>
      <c r="M101" s="78">
        <v>0</v>
      </c>
      <c r="N101" s="78">
        <f>ROUND(SUMIFS(TB_Convert!M:M,TB_Convert!A:A,A101),0)</f>
        <v>0</v>
      </c>
      <c r="O101" s="89" t="str">
        <f t="shared" si="33"/>
        <v>H</v>
      </c>
    </row>
    <row r="102" spans="1:15" x14ac:dyDescent="0.2">
      <c r="A102" s="79"/>
      <c r="B102" s="80"/>
      <c r="C102" s="80"/>
      <c r="D102" s="80" t="s">
        <v>32</v>
      </c>
      <c r="E102" s="80" t="s">
        <v>149</v>
      </c>
      <c r="F102" s="81">
        <v>0</v>
      </c>
      <c r="G102" s="81">
        <v>0</v>
      </c>
      <c r="H102" s="81">
        <v>0</v>
      </c>
      <c r="I102" s="81">
        <v>0</v>
      </c>
      <c r="J102" s="81">
        <v>0</v>
      </c>
      <c r="K102" s="81" t="e">
        <f t="shared" ref="K102:M102" si="44">SUM(K99:K101)</f>
        <v>#REF!</v>
      </c>
      <c r="L102" s="81" t="e">
        <f t="shared" si="44"/>
        <v>#REF!</v>
      </c>
      <c r="M102" s="81">
        <v>0</v>
      </c>
      <c r="N102" s="81">
        <f t="shared" ref="N102" si="45">SUM(N99:N101)</f>
        <v>0</v>
      </c>
      <c r="O102" s="89" t="str">
        <f t="shared" si="33"/>
        <v>H</v>
      </c>
    </row>
    <row r="103" spans="1:15" x14ac:dyDescent="0.2">
      <c r="A103" s="79">
        <v>215001</v>
      </c>
      <c r="B103" s="98">
        <v>12832</v>
      </c>
      <c r="C103" s="80">
        <v>215</v>
      </c>
      <c r="D103" s="80" t="s">
        <v>33</v>
      </c>
      <c r="E103" s="80" t="s">
        <v>150</v>
      </c>
      <c r="F103" s="81">
        <v>0</v>
      </c>
      <c r="G103" s="81">
        <v>0</v>
      </c>
      <c r="H103" s="81">
        <v>0</v>
      </c>
      <c r="I103" s="81">
        <v>0</v>
      </c>
      <c r="J103" s="81">
        <v>0</v>
      </c>
      <c r="K103" s="338" t="e">
        <f>SUMIFS(#REF!,#REF!,MLS!A103)</f>
        <v>#REF!</v>
      </c>
      <c r="L103" s="338" t="e">
        <f>SUMIFS(#REF!,#REF!,MLS!A103)</f>
        <v>#REF!</v>
      </c>
      <c r="M103" s="81">
        <v>0</v>
      </c>
      <c r="N103" s="81">
        <f ca="1">SUMIF(TB_Convert!$A$4:$K$86,MLS!E103,TB_Convert!$K$4:$K$86)</f>
        <v>0</v>
      </c>
      <c r="O103" s="89" t="str">
        <f t="shared" si="33"/>
        <v>H</v>
      </c>
    </row>
    <row r="104" spans="1:15" x14ac:dyDescent="0.2">
      <c r="A104" s="95">
        <v>216001</v>
      </c>
      <c r="B104" s="96">
        <v>13852</v>
      </c>
      <c r="C104" s="77">
        <v>216</v>
      </c>
      <c r="D104" s="77" t="s">
        <v>263</v>
      </c>
      <c r="E104" s="77" t="s">
        <v>264</v>
      </c>
      <c r="F104" s="78">
        <v>0</v>
      </c>
      <c r="G104" s="78">
        <v>0</v>
      </c>
      <c r="H104" s="78">
        <v>0</v>
      </c>
      <c r="I104" s="78">
        <v>0</v>
      </c>
      <c r="J104" s="78">
        <v>0</v>
      </c>
      <c r="K104" s="78" t="e">
        <f>SUMIFS(#REF!,#REF!,MLS!A104)</f>
        <v>#REF!</v>
      </c>
      <c r="L104" s="78" t="e">
        <f>SUMIFS(#REF!,#REF!,MLS!A104)</f>
        <v>#REF!</v>
      </c>
      <c r="M104" s="78">
        <v>0</v>
      </c>
      <c r="N104" s="78">
        <f>ROUND(SUMIFS(TB_Convert!M:M,TB_Convert!A:A,A104),0)</f>
        <v>0</v>
      </c>
      <c r="O104" s="89" t="str">
        <f t="shared" si="33"/>
        <v>H</v>
      </c>
    </row>
    <row r="105" spans="1:15" x14ac:dyDescent="0.2">
      <c r="A105" s="95">
        <v>216002</v>
      </c>
      <c r="B105" s="96">
        <v>13882</v>
      </c>
      <c r="C105" s="77">
        <v>216</v>
      </c>
      <c r="D105" s="77" t="s">
        <v>34</v>
      </c>
      <c r="E105" s="77" t="s">
        <v>266</v>
      </c>
      <c r="F105" s="78">
        <v>0</v>
      </c>
      <c r="G105" s="78">
        <v>0</v>
      </c>
      <c r="H105" s="78">
        <v>0</v>
      </c>
      <c r="I105" s="78">
        <v>0</v>
      </c>
      <c r="J105" s="78">
        <v>0</v>
      </c>
      <c r="K105" s="78" t="e">
        <f>SUMIFS(#REF!,#REF!,MLS!A105)</f>
        <v>#REF!</v>
      </c>
      <c r="L105" s="78" t="e">
        <f>SUMIFS(#REF!,#REF!,MLS!A105)</f>
        <v>#REF!</v>
      </c>
      <c r="M105" s="78">
        <v>0</v>
      </c>
      <c r="N105" s="78">
        <f>ROUND(SUMIFS(TB_Convert!M:M,TB_Convert!A:A,A105),0)</f>
        <v>1841300000000</v>
      </c>
      <c r="O105" s="89" t="str">
        <f t="shared" si="33"/>
        <v>H</v>
      </c>
    </row>
    <row r="106" spans="1:15" x14ac:dyDescent="0.2">
      <c r="A106" s="95">
        <v>216003</v>
      </c>
      <c r="B106" s="96">
        <v>3342</v>
      </c>
      <c r="C106" s="77">
        <v>216</v>
      </c>
      <c r="D106" s="77" t="s">
        <v>63</v>
      </c>
      <c r="E106" s="77" t="s">
        <v>181</v>
      </c>
      <c r="F106" s="78">
        <v>0</v>
      </c>
      <c r="G106" s="78">
        <v>0</v>
      </c>
      <c r="H106" s="78">
        <v>0</v>
      </c>
      <c r="I106" s="78">
        <v>0</v>
      </c>
      <c r="J106" s="78">
        <v>0</v>
      </c>
      <c r="K106" s="78" t="e">
        <f>SUMIFS(#REF!,#REF!,MLS!A106)</f>
        <v>#REF!</v>
      </c>
      <c r="L106" s="78" t="e">
        <f>SUMIFS(#REF!,#REF!,MLS!A106)</f>
        <v>#REF!</v>
      </c>
      <c r="M106" s="78">
        <v>0</v>
      </c>
      <c r="N106" s="78">
        <f>ROUND(SUMIFS(TB_Convert!M:M,TB_Convert!A:A,A106),0)</f>
        <v>0</v>
      </c>
      <c r="O106" s="89" t="str">
        <f t="shared" si="33"/>
        <v>H</v>
      </c>
    </row>
    <row r="107" spans="1:15" x14ac:dyDescent="0.2">
      <c r="A107" s="95">
        <v>216004</v>
      </c>
      <c r="B107" s="96">
        <v>3382</v>
      </c>
      <c r="C107" s="77">
        <v>216</v>
      </c>
      <c r="D107" s="77" t="s">
        <v>267</v>
      </c>
      <c r="E107" s="77" t="s">
        <v>268</v>
      </c>
      <c r="F107" s="78">
        <v>0</v>
      </c>
      <c r="G107" s="78">
        <v>0</v>
      </c>
      <c r="H107" s="78">
        <v>0</v>
      </c>
      <c r="I107" s="78">
        <v>0</v>
      </c>
      <c r="J107" s="78">
        <v>0</v>
      </c>
      <c r="K107" s="78" t="e">
        <f>SUMIFS(#REF!,#REF!,MLS!A107)</f>
        <v>#REF!</v>
      </c>
      <c r="L107" s="78" t="e">
        <f>SUMIFS(#REF!,#REF!,MLS!A107)</f>
        <v>#REF!</v>
      </c>
      <c r="M107" s="78">
        <v>0</v>
      </c>
      <c r="N107" s="78">
        <f>ROUND(SUMIFS(TB_Convert!M:M,TB_Convert!A:A,A107),0)</f>
        <v>0</v>
      </c>
      <c r="O107" s="89" t="str">
        <f t="shared" si="33"/>
        <v>H</v>
      </c>
    </row>
    <row r="108" spans="1:15" x14ac:dyDescent="0.2">
      <c r="A108" s="95">
        <v>216005</v>
      </c>
      <c r="B108" s="96">
        <v>1412</v>
      </c>
      <c r="C108" s="77">
        <v>216</v>
      </c>
      <c r="D108" s="77" t="s">
        <v>269</v>
      </c>
      <c r="E108" s="77" t="s">
        <v>270</v>
      </c>
      <c r="F108" s="78">
        <v>0</v>
      </c>
      <c r="G108" s="78">
        <v>0</v>
      </c>
      <c r="H108" s="78">
        <v>0</v>
      </c>
      <c r="I108" s="78">
        <v>0</v>
      </c>
      <c r="J108" s="78">
        <v>0</v>
      </c>
      <c r="K108" s="78" t="e">
        <f>SUMIFS(#REF!,#REF!,MLS!A108)</f>
        <v>#REF!</v>
      </c>
      <c r="L108" s="78" t="e">
        <f>SUMIFS(#REF!,#REF!,MLS!A108)</f>
        <v>#REF!</v>
      </c>
      <c r="M108" s="78">
        <v>0</v>
      </c>
      <c r="N108" s="78">
        <f>ROUND(SUMIFS(TB_Convert!M:M,TB_Convert!A:A,A108),0)</f>
        <v>0</v>
      </c>
      <c r="O108" s="89" t="str">
        <f t="shared" si="33"/>
        <v>H</v>
      </c>
    </row>
    <row r="109" spans="1:15" x14ac:dyDescent="0.2">
      <c r="A109" s="95">
        <v>216006</v>
      </c>
      <c r="B109" s="96">
        <v>2442</v>
      </c>
      <c r="C109" s="77">
        <v>216</v>
      </c>
      <c r="D109" s="77" t="s">
        <v>271</v>
      </c>
      <c r="E109" s="77" t="s">
        <v>272</v>
      </c>
      <c r="F109" s="78">
        <v>0</v>
      </c>
      <c r="G109" s="78">
        <v>0</v>
      </c>
      <c r="H109" s="78">
        <v>0</v>
      </c>
      <c r="I109" s="78">
        <v>0</v>
      </c>
      <c r="J109" s="78">
        <v>0</v>
      </c>
      <c r="K109" s="78" t="e">
        <f>SUMIFS(#REF!,#REF!,MLS!A109)</f>
        <v>#REF!</v>
      </c>
      <c r="L109" s="78" t="e">
        <f>SUMIFS(#REF!,#REF!,MLS!A109)</f>
        <v>#REF!</v>
      </c>
      <c r="M109" s="78">
        <v>0</v>
      </c>
      <c r="N109" s="78">
        <f>ROUND(SUMIFS(TB_Convert!M:M,TB_Convert!A:A,A109),0)</f>
        <v>0</v>
      </c>
      <c r="O109" s="89" t="str">
        <f t="shared" si="33"/>
        <v>H</v>
      </c>
    </row>
    <row r="110" spans="1:15" x14ac:dyDescent="0.2">
      <c r="A110" s="79"/>
      <c r="B110" s="80"/>
      <c r="C110" s="80"/>
      <c r="D110" s="80" t="s">
        <v>34</v>
      </c>
      <c r="E110" s="80" t="s">
        <v>151</v>
      </c>
      <c r="F110" s="81">
        <v>0</v>
      </c>
      <c r="G110" s="81">
        <v>0</v>
      </c>
      <c r="H110" s="81">
        <v>0</v>
      </c>
      <c r="I110" s="81">
        <v>0</v>
      </c>
      <c r="J110" s="81">
        <v>0</v>
      </c>
      <c r="K110" s="81" t="e">
        <f t="shared" ref="K110:M110" si="46">SUM(K104:K109)</f>
        <v>#REF!</v>
      </c>
      <c r="L110" s="81" t="e">
        <f t="shared" si="46"/>
        <v>#REF!</v>
      </c>
      <c r="M110" s="81">
        <v>0</v>
      </c>
      <c r="N110" s="81">
        <f t="shared" ref="N110" si="47">SUM(N104:N109)</f>
        <v>1841300000000</v>
      </c>
      <c r="O110" s="89" t="str">
        <f t="shared" si="33"/>
        <v>H</v>
      </c>
    </row>
    <row r="111" spans="1:15" x14ac:dyDescent="0.2">
      <c r="A111" s="79">
        <v>219001</v>
      </c>
      <c r="B111" s="80">
        <v>22932</v>
      </c>
      <c r="C111" s="80">
        <v>219</v>
      </c>
      <c r="D111" s="80" t="s">
        <v>35</v>
      </c>
      <c r="E111" s="80" t="s">
        <v>152</v>
      </c>
      <c r="F111" s="81">
        <v>0</v>
      </c>
      <c r="G111" s="81">
        <v>0</v>
      </c>
      <c r="H111" s="81">
        <v>0</v>
      </c>
      <c r="I111" s="81">
        <v>0</v>
      </c>
      <c r="J111" s="81">
        <v>0</v>
      </c>
      <c r="K111" s="338" t="e">
        <f>SUMIFS(#REF!,#REF!,MLS!A111)</f>
        <v>#REF!</v>
      </c>
      <c r="L111" s="338" t="e">
        <f>SUMIFS(#REF!,#REF!,MLS!A111)</f>
        <v>#REF!</v>
      </c>
      <c r="M111" s="81">
        <v>0</v>
      </c>
      <c r="N111" s="81">
        <f ca="1">SUMIF(TB_Convert!$A$4:$K$86,MLS!E111,TB_Convert!$K$4:$K$86)</f>
        <v>0</v>
      </c>
      <c r="O111" s="89" t="str">
        <f t="shared" si="33"/>
        <v>H</v>
      </c>
    </row>
    <row r="112" spans="1:15" x14ac:dyDescent="0.2">
      <c r="A112" s="105"/>
      <c r="B112" s="106">
        <v>1312</v>
      </c>
      <c r="C112" s="106">
        <v>210</v>
      </c>
      <c r="D112" s="106" t="s">
        <v>28</v>
      </c>
      <c r="E112" s="106" t="s">
        <v>145</v>
      </c>
      <c r="F112" s="107">
        <v>0</v>
      </c>
      <c r="G112" s="107">
        <v>0</v>
      </c>
      <c r="H112" s="107">
        <v>0</v>
      </c>
      <c r="I112" s="107">
        <v>0</v>
      </c>
      <c r="J112" s="107">
        <v>0</v>
      </c>
      <c r="K112" s="107">
        <v>0</v>
      </c>
      <c r="L112" s="107">
        <v>0</v>
      </c>
      <c r="M112" s="107">
        <v>0</v>
      </c>
      <c r="N112" s="107">
        <f>N110</f>
        <v>1841300000000</v>
      </c>
      <c r="O112" s="89" t="str">
        <f t="shared" si="33"/>
        <v>H</v>
      </c>
    </row>
    <row r="113" spans="1:15" x14ac:dyDescent="0.2">
      <c r="A113" s="95">
        <v>222001</v>
      </c>
      <c r="B113" s="77">
        <v>2111</v>
      </c>
      <c r="C113" s="77">
        <v>222</v>
      </c>
      <c r="D113" s="77" t="s">
        <v>333</v>
      </c>
      <c r="E113" s="77" t="s">
        <v>334</v>
      </c>
      <c r="F113" s="78">
        <v>0</v>
      </c>
      <c r="G113" s="78">
        <v>0</v>
      </c>
      <c r="H113" s="78">
        <v>0</v>
      </c>
      <c r="I113" s="78">
        <v>0</v>
      </c>
      <c r="J113" s="78">
        <v>0</v>
      </c>
      <c r="K113" s="78" t="e">
        <f>SUMIFS(#REF!,#REF!,MLS!A113)</f>
        <v>#REF!</v>
      </c>
      <c r="L113" s="78" t="e">
        <f>SUMIFS(#REF!,#REF!,MLS!A113)</f>
        <v>#REF!</v>
      </c>
      <c r="M113" s="78">
        <v>0</v>
      </c>
      <c r="N113" s="78">
        <f>ROUND(SUMIFS(TB_Convert!M:M,TB_Convert!A:A,A113),0)</f>
        <v>0</v>
      </c>
      <c r="O113" s="89" t="str">
        <f t="shared" si="33"/>
        <v>H</v>
      </c>
    </row>
    <row r="114" spans="1:15" x14ac:dyDescent="0.2">
      <c r="A114" s="95">
        <v>222002</v>
      </c>
      <c r="B114" s="77">
        <v>2112</v>
      </c>
      <c r="C114" s="77">
        <v>222</v>
      </c>
      <c r="D114" s="77" t="s">
        <v>328</v>
      </c>
      <c r="E114" s="77" t="s">
        <v>335</v>
      </c>
      <c r="F114" s="78">
        <v>0</v>
      </c>
      <c r="G114" s="78">
        <v>0</v>
      </c>
      <c r="H114" s="78">
        <v>0</v>
      </c>
      <c r="I114" s="78">
        <v>0</v>
      </c>
      <c r="J114" s="78">
        <v>0</v>
      </c>
      <c r="K114" s="78" t="e">
        <f>SUMIFS(#REF!,#REF!,MLS!A114)</f>
        <v>#REF!</v>
      </c>
      <c r="L114" s="78" t="e">
        <f>SUMIFS(#REF!,#REF!,MLS!A114)</f>
        <v>#REF!</v>
      </c>
      <c r="M114" s="78">
        <v>0</v>
      </c>
      <c r="N114" s="78">
        <f>ROUND(SUMIFS(TB_Convert!M:M,TB_Convert!A:A,A114),0)</f>
        <v>0</v>
      </c>
      <c r="O114" s="89" t="str">
        <f t="shared" si="33"/>
        <v>H</v>
      </c>
    </row>
    <row r="115" spans="1:15" x14ac:dyDescent="0.2">
      <c r="A115" s="95">
        <v>222003</v>
      </c>
      <c r="B115" s="77">
        <v>2113</v>
      </c>
      <c r="C115" s="77">
        <v>222</v>
      </c>
      <c r="D115" s="77" t="s">
        <v>336</v>
      </c>
      <c r="E115" s="77" t="s">
        <v>337</v>
      </c>
      <c r="F115" s="78">
        <v>0</v>
      </c>
      <c r="G115" s="78">
        <v>0</v>
      </c>
      <c r="H115" s="78">
        <v>0</v>
      </c>
      <c r="I115" s="78">
        <v>0</v>
      </c>
      <c r="J115" s="78">
        <v>0</v>
      </c>
      <c r="K115" s="78" t="e">
        <f>SUMIFS(#REF!,#REF!,MLS!A115)</f>
        <v>#REF!</v>
      </c>
      <c r="L115" s="78" t="e">
        <f>SUMIFS(#REF!,#REF!,MLS!A115)</f>
        <v>#REF!</v>
      </c>
      <c r="M115" s="78">
        <v>0</v>
      </c>
      <c r="N115" s="78">
        <f>ROUND(SUMIFS(TB_Convert!M:M,TB_Convert!A:A,A115),0)</f>
        <v>0</v>
      </c>
      <c r="O115" s="89" t="str">
        <f t="shared" si="33"/>
        <v>H</v>
      </c>
    </row>
    <row r="116" spans="1:15" x14ac:dyDescent="0.2">
      <c r="A116" s="95">
        <v>222004</v>
      </c>
      <c r="B116" s="77">
        <v>2114</v>
      </c>
      <c r="C116" s="77">
        <v>222</v>
      </c>
      <c r="D116" s="77" t="s">
        <v>338</v>
      </c>
      <c r="E116" s="77" t="s">
        <v>339</v>
      </c>
      <c r="F116" s="78">
        <v>205464255</v>
      </c>
      <c r="G116" s="78">
        <v>0</v>
      </c>
      <c r="H116" s="78">
        <v>0</v>
      </c>
      <c r="I116" s="78">
        <v>205464255</v>
      </c>
      <c r="J116" s="78">
        <v>205464255</v>
      </c>
      <c r="K116" s="78" t="e">
        <f>SUMIFS(#REF!,#REF!,MLS!A116)</f>
        <v>#REF!</v>
      </c>
      <c r="L116" s="78" t="e">
        <f>SUMIFS(#REF!,#REF!,MLS!A116)</f>
        <v>#REF!</v>
      </c>
      <c r="M116" s="78">
        <v>205464255</v>
      </c>
      <c r="N116" s="78">
        <f>ROUND(SUMIFS(TB_Convert!M:M,TB_Convert!A:A,A116),0)</f>
        <v>205464255</v>
      </c>
      <c r="O116" s="89" t="str">
        <f t="shared" si="33"/>
        <v>S</v>
      </c>
    </row>
    <row r="117" spans="1:15" x14ac:dyDescent="0.2">
      <c r="A117" s="95">
        <v>222005</v>
      </c>
      <c r="B117" s="77">
        <v>2115</v>
      </c>
      <c r="C117" s="77">
        <v>222</v>
      </c>
      <c r="D117" s="77" t="s">
        <v>340</v>
      </c>
      <c r="E117" s="77" t="s">
        <v>341</v>
      </c>
      <c r="F117" s="78">
        <v>0</v>
      </c>
      <c r="G117" s="78">
        <v>0</v>
      </c>
      <c r="H117" s="78">
        <v>0</v>
      </c>
      <c r="I117" s="78">
        <v>0</v>
      </c>
      <c r="J117" s="78">
        <v>0</v>
      </c>
      <c r="K117" s="78" t="e">
        <f>SUMIFS(#REF!,#REF!,MLS!A117)</f>
        <v>#REF!</v>
      </c>
      <c r="L117" s="78" t="e">
        <f>SUMIFS(#REF!,#REF!,MLS!A117)</f>
        <v>#REF!</v>
      </c>
      <c r="M117" s="78">
        <v>0</v>
      </c>
      <c r="N117" s="78">
        <f>ROUND(SUMIFS(TB_Convert!M:M,TB_Convert!A:A,A117),0)</f>
        <v>0</v>
      </c>
      <c r="O117" s="89" t="str">
        <f t="shared" si="33"/>
        <v>H</v>
      </c>
    </row>
    <row r="118" spans="1:15" x14ac:dyDescent="0.2">
      <c r="A118" s="95">
        <v>222006</v>
      </c>
      <c r="B118" s="77">
        <v>2118</v>
      </c>
      <c r="C118" s="77">
        <v>222</v>
      </c>
      <c r="D118" s="77" t="s">
        <v>342</v>
      </c>
      <c r="E118" s="77" t="s">
        <v>343</v>
      </c>
      <c r="F118" s="78">
        <v>0</v>
      </c>
      <c r="G118" s="78">
        <v>0</v>
      </c>
      <c r="H118" s="78">
        <v>0</v>
      </c>
      <c r="I118" s="78">
        <v>0</v>
      </c>
      <c r="J118" s="78">
        <v>0</v>
      </c>
      <c r="K118" s="78" t="e">
        <f>SUMIFS(#REF!,#REF!,MLS!A118)</f>
        <v>#REF!</v>
      </c>
      <c r="L118" s="78" t="e">
        <f>SUMIFS(#REF!,#REF!,MLS!A118)</f>
        <v>#REF!</v>
      </c>
      <c r="M118" s="78">
        <v>0</v>
      </c>
      <c r="N118" s="78">
        <f>ROUND(SUMIFS(TB_Convert!M:M,TB_Convert!A:A,A118),0)</f>
        <v>0</v>
      </c>
      <c r="O118" s="89" t="str">
        <f t="shared" si="33"/>
        <v>H</v>
      </c>
    </row>
    <row r="119" spans="1:15" x14ac:dyDescent="0.2">
      <c r="A119" s="79"/>
      <c r="B119" s="80"/>
      <c r="C119" s="80"/>
      <c r="D119" s="80" t="s">
        <v>38</v>
      </c>
      <c r="E119" s="80" t="s">
        <v>155</v>
      </c>
      <c r="F119" s="81">
        <v>205464255</v>
      </c>
      <c r="G119" s="81">
        <v>0</v>
      </c>
      <c r="H119" s="81">
        <v>0</v>
      </c>
      <c r="I119" s="81">
        <v>205464255</v>
      </c>
      <c r="J119" s="81">
        <v>205464255</v>
      </c>
      <c r="K119" s="81" t="e">
        <f t="shared" ref="K119:M119" si="48">SUM(K113:K118)</f>
        <v>#REF!</v>
      </c>
      <c r="L119" s="81" t="e">
        <f t="shared" si="48"/>
        <v>#REF!</v>
      </c>
      <c r="M119" s="81">
        <v>205464255</v>
      </c>
      <c r="N119" s="81">
        <f t="shared" ref="N119" si="49">SUM(N113:N118)</f>
        <v>205464255</v>
      </c>
      <c r="O119" s="89" t="str">
        <f t="shared" si="33"/>
        <v>S</v>
      </c>
    </row>
    <row r="120" spans="1:15" x14ac:dyDescent="0.2">
      <c r="A120" s="95">
        <v>223001</v>
      </c>
      <c r="B120" s="77">
        <v>21411</v>
      </c>
      <c r="C120" s="77">
        <v>223</v>
      </c>
      <c r="D120" s="77" t="s">
        <v>344</v>
      </c>
      <c r="E120" s="77" t="s">
        <v>349</v>
      </c>
      <c r="F120" s="78">
        <v>0</v>
      </c>
      <c r="G120" s="78">
        <v>0</v>
      </c>
      <c r="H120" s="78">
        <v>0</v>
      </c>
      <c r="I120" s="78">
        <v>0</v>
      </c>
      <c r="J120" s="78">
        <v>0</v>
      </c>
      <c r="K120" s="78" t="e">
        <f>SUMIFS(#REF!,#REF!,MLS!A120)</f>
        <v>#REF!</v>
      </c>
      <c r="L120" s="78" t="e">
        <f>SUMIFS(#REF!,#REF!,MLS!A120)</f>
        <v>#REF!</v>
      </c>
      <c r="M120" s="78">
        <v>0</v>
      </c>
      <c r="N120" s="78">
        <f>ROUND(SUMIFS(TB_Convert!M:M,TB_Convert!A:A,A120),0)</f>
        <v>0</v>
      </c>
      <c r="O120" s="89" t="str">
        <f t="shared" si="33"/>
        <v>H</v>
      </c>
    </row>
    <row r="121" spans="1:15" x14ac:dyDescent="0.2">
      <c r="A121" s="95">
        <v>223002</v>
      </c>
      <c r="B121" s="77">
        <v>21412</v>
      </c>
      <c r="C121" s="77">
        <v>223</v>
      </c>
      <c r="D121" s="77" t="s">
        <v>330</v>
      </c>
      <c r="E121" s="77" t="s">
        <v>350</v>
      </c>
      <c r="F121" s="78">
        <v>0</v>
      </c>
      <c r="G121" s="78">
        <v>0</v>
      </c>
      <c r="H121" s="78">
        <v>0</v>
      </c>
      <c r="I121" s="78">
        <v>0</v>
      </c>
      <c r="J121" s="78">
        <v>0</v>
      </c>
      <c r="K121" s="78" t="e">
        <f>SUMIFS(#REF!,#REF!,MLS!A121)</f>
        <v>#REF!</v>
      </c>
      <c r="L121" s="78" t="e">
        <f>SUMIFS(#REF!,#REF!,MLS!A121)</f>
        <v>#REF!</v>
      </c>
      <c r="M121" s="78">
        <v>0</v>
      </c>
      <c r="N121" s="78">
        <f>ROUND(SUMIFS(TB_Convert!M:M,TB_Convert!A:A,A121),0)</f>
        <v>0</v>
      </c>
      <c r="O121" s="89" t="str">
        <f t="shared" si="33"/>
        <v>H</v>
      </c>
    </row>
    <row r="122" spans="1:15" x14ac:dyDescent="0.2">
      <c r="A122" s="95">
        <v>223003</v>
      </c>
      <c r="B122" s="77">
        <v>21413</v>
      </c>
      <c r="C122" s="77">
        <v>223</v>
      </c>
      <c r="D122" s="77" t="s">
        <v>345</v>
      </c>
      <c r="E122" s="77" t="s">
        <v>351</v>
      </c>
      <c r="F122" s="78">
        <v>0</v>
      </c>
      <c r="G122" s="78">
        <v>0</v>
      </c>
      <c r="H122" s="78">
        <v>0</v>
      </c>
      <c r="I122" s="78">
        <v>0</v>
      </c>
      <c r="J122" s="78">
        <v>0</v>
      </c>
      <c r="K122" s="78" t="e">
        <f>SUMIFS(#REF!,#REF!,MLS!A122)</f>
        <v>#REF!</v>
      </c>
      <c r="L122" s="78" t="e">
        <f>SUMIFS(#REF!,#REF!,MLS!A122)</f>
        <v>#REF!</v>
      </c>
      <c r="M122" s="78">
        <v>0</v>
      </c>
      <c r="N122" s="78">
        <f>ROUND(SUMIFS(TB_Convert!M:M,TB_Convert!A:A,A122),0)</f>
        <v>0</v>
      </c>
      <c r="O122" s="89" t="str">
        <f t="shared" si="33"/>
        <v>H</v>
      </c>
    </row>
    <row r="123" spans="1:15" x14ac:dyDescent="0.2">
      <c r="A123" s="95">
        <v>223004</v>
      </c>
      <c r="B123" s="77">
        <v>21414</v>
      </c>
      <c r="C123" s="77">
        <v>223</v>
      </c>
      <c r="D123" s="77" t="s">
        <v>346</v>
      </c>
      <c r="E123" s="77" t="s">
        <v>352</v>
      </c>
      <c r="F123" s="78">
        <v>-205464255</v>
      </c>
      <c r="G123" s="78">
        <v>0</v>
      </c>
      <c r="H123" s="78">
        <v>0</v>
      </c>
      <c r="I123" s="78">
        <v>-205464255</v>
      </c>
      <c r="J123" s="78">
        <v>-205464255</v>
      </c>
      <c r="K123" s="78" t="e">
        <f>SUMIFS(#REF!,#REF!,MLS!A123)</f>
        <v>#REF!</v>
      </c>
      <c r="L123" s="78" t="e">
        <f>SUMIFS(#REF!,#REF!,MLS!A123)</f>
        <v>#REF!</v>
      </c>
      <c r="M123" s="78">
        <v>-205464255</v>
      </c>
      <c r="N123" s="78">
        <f>ROUND(SUMIFS(TB_Convert!M:M,TB_Convert!A:A,A123),0)</f>
        <v>-205464255</v>
      </c>
      <c r="O123" s="89" t="str">
        <f t="shared" si="33"/>
        <v>S</v>
      </c>
    </row>
    <row r="124" spans="1:15" x14ac:dyDescent="0.2">
      <c r="A124" s="95">
        <v>223005</v>
      </c>
      <c r="B124" s="77">
        <v>21415</v>
      </c>
      <c r="C124" s="77">
        <v>223</v>
      </c>
      <c r="D124" s="77" t="s">
        <v>347</v>
      </c>
      <c r="E124" s="77" t="s">
        <v>353</v>
      </c>
      <c r="F124" s="78">
        <v>0</v>
      </c>
      <c r="G124" s="78">
        <v>0</v>
      </c>
      <c r="H124" s="78">
        <v>0</v>
      </c>
      <c r="I124" s="78">
        <v>0</v>
      </c>
      <c r="J124" s="78">
        <v>0</v>
      </c>
      <c r="K124" s="78" t="e">
        <f>SUMIFS(#REF!,#REF!,MLS!A124)</f>
        <v>#REF!</v>
      </c>
      <c r="L124" s="78" t="e">
        <f>SUMIFS(#REF!,#REF!,MLS!A124)</f>
        <v>#REF!</v>
      </c>
      <c r="M124" s="78">
        <v>0</v>
      </c>
      <c r="N124" s="78">
        <f>ROUND(SUMIFS(TB_Convert!M:M,TB_Convert!A:A,A124),0)</f>
        <v>0</v>
      </c>
      <c r="O124" s="89" t="str">
        <f t="shared" si="33"/>
        <v>H</v>
      </c>
    </row>
    <row r="125" spans="1:15" x14ac:dyDescent="0.2">
      <c r="A125" s="95">
        <v>223006</v>
      </c>
      <c r="B125" s="77">
        <v>21418</v>
      </c>
      <c r="C125" s="77">
        <v>223</v>
      </c>
      <c r="D125" s="77" t="s">
        <v>348</v>
      </c>
      <c r="E125" s="77" t="s">
        <v>354</v>
      </c>
      <c r="F125" s="78">
        <v>0</v>
      </c>
      <c r="G125" s="78">
        <v>0</v>
      </c>
      <c r="H125" s="78">
        <v>0</v>
      </c>
      <c r="I125" s="78">
        <v>0</v>
      </c>
      <c r="J125" s="78">
        <v>0</v>
      </c>
      <c r="K125" s="78" t="e">
        <f>SUMIFS(#REF!,#REF!,MLS!A125)</f>
        <v>#REF!</v>
      </c>
      <c r="L125" s="78" t="e">
        <f>SUMIFS(#REF!,#REF!,MLS!A125)</f>
        <v>#REF!</v>
      </c>
      <c r="M125" s="78">
        <v>0</v>
      </c>
      <c r="N125" s="78">
        <f>ROUND(SUMIFS(TB_Convert!M:M,TB_Convert!A:A,A125),0)</f>
        <v>0</v>
      </c>
      <c r="O125" s="89" t="str">
        <f t="shared" si="33"/>
        <v>H</v>
      </c>
    </row>
    <row r="126" spans="1:15" x14ac:dyDescent="0.2">
      <c r="A126" s="79"/>
      <c r="B126" s="80"/>
      <c r="C126" s="80"/>
      <c r="D126" s="80" t="s">
        <v>39</v>
      </c>
      <c r="E126" s="80" t="s">
        <v>156</v>
      </c>
      <c r="F126" s="81">
        <v>-205464255</v>
      </c>
      <c r="G126" s="81">
        <v>0</v>
      </c>
      <c r="H126" s="81">
        <v>0</v>
      </c>
      <c r="I126" s="81">
        <v>-205464255</v>
      </c>
      <c r="J126" s="81">
        <v>-205464255</v>
      </c>
      <c r="K126" s="81" t="e">
        <f t="shared" ref="K126:M126" si="50">SUM(K120:K125)</f>
        <v>#REF!</v>
      </c>
      <c r="L126" s="81" t="e">
        <f t="shared" si="50"/>
        <v>#REF!</v>
      </c>
      <c r="M126" s="81">
        <v>-205464255</v>
      </c>
      <c r="N126" s="81">
        <f t="shared" ref="N126" si="51">SUM(N120:N125)</f>
        <v>-205464255</v>
      </c>
      <c r="O126" s="89" t="str">
        <f t="shared" si="33"/>
        <v>S</v>
      </c>
    </row>
    <row r="127" spans="1:15" x14ac:dyDescent="0.2">
      <c r="A127" s="97"/>
      <c r="B127" s="93"/>
      <c r="C127" s="93">
        <v>221</v>
      </c>
      <c r="D127" s="93" t="s">
        <v>37</v>
      </c>
      <c r="E127" s="93" t="s">
        <v>154</v>
      </c>
      <c r="F127" s="94">
        <v>0</v>
      </c>
      <c r="G127" s="94">
        <v>0</v>
      </c>
      <c r="H127" s="94">
        <v>0</v>
      </c>
      <c r="I127" s="94">
        <v>0</v>
      </c>
      <c r="J127" s="94">
        <v>0</v>
      </c>
      <c r="K127" s="94" t="e">
        <f t="shared" ref="K127:M127" si="52">SUM(K119,K126)</f>
        <v>#REF!</v>
      </c>
      <c r="L127" s="94" t="e">
        <f t="shared" si="52"/>
        <v>#REF!</v>
      </c>
      <c r="M127" s="94">
        <v>0</v>
      </c>
      <c r="N127" s="94">
        <f t="shared" ref="N127" si="53">SUM(N119,N126)</f>
        <v>0</v>
      </c>
      <c r="O127" s="89" t="str">
        <f t="shared" si="33"/>
        <v>H</v>
      </c>
    </row>
    <row r="128" spans="1:15" s="89" customFormat="1" x14ac:dyDescent="0.2">
      <c r="A128" s="86">
        <v>225001</v>
      </c>
      <c r="B128" s="87">
        <v>2121</v>
      </c>
      <c r="C128" s="77">
        <v>225</v>
      </c>
      <c r="D128" s="87" t="s">
        <v>333</v>
      </c>
      <c r="E128" s="87" t="s">
        <v>334</v>
      </c>
      <c r="F128" s="88">
        <v>0</v>
      </c>
      <c r="G128" s="88">
        <v>0</v>
      </c>
      <c r="H128" s="88">
        <v>0</v>
      </c>
      <c r="I128" s="88">
        <v>0</v>
      </c>
      <c r="J128" s="88">
        <v>0</v>
      </c>
      <c r="K128" s="78" t="e">
        <f>SUMIFS(#REF!,#REF!,MLS!A128)</f>
        <v>#REF!</v>
      </c>
      <c r="L128" s="78" t="e">
        <f>SUMIFS(#REF!,#REF!,MLS!A128)</f>
        <v>#REF!</v>
      </c>
      <c r="M128" s="88">
        <v>0</v>
      </c>
      <c r="N128" s="88">
        <f>ROUND(SUMIFS(TB_Convert!M:M,TB_Convert!A:A,A128),0)</f>
        <v>0</v>
      </c>
      <c r="O128" s="89" t="str">
        <f t="shared" si="33"/>
        <v>H</v>
      </c>
    </row>
    <row r="129" spans="1:15" s="89" customFormat="1" x14ac:dyDescent="0.2">
      <c r="A129" s="86">
        <v>225002</v>
      </c>
      <c r="B129" s="87">
        <v>2122</v>
      </c>
      <c r="C129" s="77">
        <v>225</v>
      </c>
      <c r="D129" s="87" t="s">
        <v>328</v>
      </c>
      <c r="E129" s="87" t="s">
        <v>335</v>
      </c>
      <c r="F129" s="88">
        <v>0</v>
      </c>
      <c r="G129" s="88">
        <v>0</v>
      </c>
      <c r="H129" s="88">
        <v>0</v>
      </c>
      <c r="I129" s="88">
        <v>0</v>
      </c>
      <c r="J129" s="88">
        <v>0</v>
      </c>
      <c r="K129" s="78" t="e">
        <f>SUMIFS(#REF!,#REF!,MLS!A129)</f>
        <v>#REF!</v>
      </c>
      <c r="L129" s="78" t="e">
        <f>SUMIFS(#REF!,#REF!,MLS!A129)</f>
        <v>#REF!</v>
      </c>
      <c r="M129" s="88">
        <v>0</v>
      </c>
      <c r="N129" s="88">
        <f>ROUND(SUMIFS(TB_Convert!M:M,TB_Convert!A:A,A129),0)</f>
        <v>0</v>
      </c>
      <c r="O129" s="89" t="str">
        <f t="shared" si="33"/>
        <v>H</v>
      </c>
    </row>
    <row r="130" spans="1:15" s="89" customFormat="1" x14ac:dyDescent="0.2">
      <c r="A130" s="86">
        <v>225003</v>
      </c>
      <c r="B130" s="87">
        <v>2123</v>
      </c>
      <c r="C130" s="77">
        <v>225</v>
      </c>
      <c r="D130" s="87" t="s">
        <v>336</v>
      </c>
      <c r="E130" s="87" t="s">
        <v>337</v>
      </c>
      <c r="F130" s="88">
        <v>0</v>
      </c>
      <c r="G130" s="88">
        <v>0</v>
      </c>
      <c r="H130" s="88">
        <v>0</v>
      </c>
      <c r="I130" s="88">
        <v>0</v>
      </c>
      <c r="J130" s="88">
        <v>0</v>
      </c>
      <c r="K130" s="78" t="e">
        <f>SUMIFS(#REF!,#REF!,MLS!A130)</f>
        <v>#REF!</v>
      </c>
      <c r="L130" s="78" t="e">
        <f>SUMIFS(#REF!,#REF!,MLS!A130)</f>
        <v>#REF!</v>
      </c>
      <c r="M130" s="88">
        <v>0</v>
      </c>
      <c r="N130" s="88">
        <f>ROUND(SUMIFS(TB_Convert!M:M,TB_Convert!A:A,A130),0)</f>
        <v>0</v>
      </c>
      <c r="O130" s="89" t="str">
        <f t="shared" si="33"/>
        <v>H</v>
      </c>
    </row>
    <row r="131" spans="1:15" s="89" customFormat="1" x14ac:dyDescent="0.2">
      <c r="A131" s="86">
        <v>225004</v>
      </c>
      <c r="B131" s="87">
        <v>2124</v>
      </c>
      <c r="C131" s="77">
        <v>225</v>
      </c>
      <c r="D131" s="87" t="s">
        <v>338</v>
      </c>
      <c r="E131" s="87" t="s">
        <v>339</v>
      </c>
      <c r="F131" s="88">
        <v>0</v>
      </c>
      <c r="G131" s="88">
        <v>0</v>
      </c>
      <c r="H131" s="88">
        <v>0</v>
      </c>
      <c r="I131" s="88">
        <v>0</v>
      </c>
      <c r="J131" s="88">
        <v>0</v>
      </c>
      <c r="K131" s="78" t="e">
        <f>SUMIFS(#REF!,#REF!,MLS!A131)</f>
        <v>#REF!</v>
      </c>
      <c r="L131" s="78" t="e">
        <f>SUMIFS(#REF!,#REF!,MLS!A131)</f>
        <v>#REF!</v>
      </c>
      <c r="M131" s="88">
        <v>0</v>
      </c>
      <c r="N131" s="88">
        <f>ROUND(SUMIFS(TB_Convert!M:M,TB_Convert!A:A,A131),0)</f>
        <v>0</v>
      </c>
      <c r="O131" s="89" t="str">
        <f t="shared" si="33"/>
        <v>H</v>
      </c>
    </row>
    <row r="132" spans="1:15" s="89" customFormat="1" x14ac:dyDescent="0.2">
      <c r="A132" s="86">
        <v>225005</v>
      </c>
      <c r="B132" s="87">
        <v>2125</v>
      </c>
      <c r="C132" s="77">
        <v>225</v>
      </c>
      <c r="D132" s="87" t="s">
        <v>342</v>
      </c>
      <c r="E132" s="87" t="s">
        <v>343</v>
      </c>
      <c r="F132" s="88">
        <v>0</v>
      </c>
      <c r="G132" s="88">
        <v>0</v>
      </c>
      <c r="H132" s="88">
        <v>0</v>
      </c>
      <c r="I132" s="88">
        <v>0</v>
      </c>
      <c r="J132" s="88">
        <v>0</v>
      </c>
      <c r="K132" s="78" t="e">
        <f>SUMIFS(#REF!,#REF!,MLS!A132)</f>
        <v>#REF!</v>
      </c>
      <c r="L132" s="78" t="e">
        <f>SUMIFS(#REF!,#REF!,MLS!A132)</f>
        <v>#REF!</v>
      </c>
      <c r="M132" s="88">
        <v>0</v>
      </c>
      <c r="N132" s="88">
        <f>ROUND(SUMIFS(TB_Convert!M:M,TB_Convert!A:A,A132),0)</f>
        <v>0</v>
      </c>
      <c r="O132" s="89" t="str">
        <f t="shared" si="33"/>
        <v>H</v>
      </c>
    </row>
    <row r="133" spans="1:15" x14ac:dyDescent="0.2">
      <c r="A133" s="79"/>
      <c r="B133" s="80"/>
      <c r="C133" s="80"/>
      <c r="D133" s="80" t="s">
        <v>38</v>
      </c>
      <c r="E133" s="80" t="s">
        <v>155</v>
      </c>
      <c r="F133" s="81">
        <v>0</v>
      </c>
      <c r="G133" s="81">
        <v>0</v>
      </c>
      <c r="H133" s="81">
        <v>0</v>
      </c>
      <c r="I133" s="81">
        <v>0</v>
      </c>
      <c r="J133" s="81">
        <v>0</v>
      </c>
      <c r="K133" s="81" t="e">
        <f t="shared" ref="K133:M133" si="54">SUM(K128:K132)</f>
        <v>#REF!</v>
      </c>
      <c r="L133" s="81" t="e">
        <f t="shared" si="54"/>
        <v>#REF!</v>
      </c>
      <c r="M133" s="81">
        <v>0</v>
      </c>
      <c r="N133" s="81">
        <f t="shared" ref="N133" si="55">SUM(N128:N132)</f>
        <v>0</v>
      </c>
      <c r="O133" s="89" t="str">
        <f t="shared" si="33"/>
        <v>H</v>
      </c>
    </row>
    <row r="134" spans="1:15" x14ac:dyDescent="0.2">
      <c r="A134" s="95">
        <v>226001</v>
      </c>
      <c r="B134" s="77">
        <v>21421</v>
      </c>
      <c r="C134" s="77">
        <v>226</v>
      </c>
      <c r="D134" s="77" t="s">
        <v>344</v>
      </c>
      <c r="E134" s="77" t="s">
        <v>349</v>
      </c>
      <c r="F134" s="78">
        <v>0</v>
      </c>
      <c r="G134" s="78">
        <v>0</v>
      </c>
      <c r="H134" s="78">
        <v>0</v>
      </c>
      <c r="I134" s="78">
        <v>0</v>
      </c>
      <c r="J134" s="78">
        <v>0</v>
      </c>
      <c r="K134" s="78" t="e">
        <f>SUMIFS(#REF!,#REF!,MLS!A134)</f>
        <v>#REF!</v>
      </c>
      <c r="L134" s="78" t="e">
        <f>SUMIFS(#REF!,#REF!,MLS!A134)</f>
        <v>#REF!</v>
      </c>
      <c r="M134" s="78">
        <v>0</v>
      </c>
      <c r="N134" s="78">
        <f>ROUND(SUMIFS(TB_Convert!M:M,TB_Convert!A:A,A134),0)</f>
        <v>0</v>
      </c>
      <c r="O134" s="89" t="str">
        <f t="shared" si="33"/>
        <v>H</v>
      </c>
    </row>
    <row r="135" spans="1:15" x14ac:dyDescent="0.2">
      <c r="A135" s="95">
        <v>226002</v>
      </c>
      <c r="B135" s="77">
        <v>21422</v>
      </c>
      <c r="C135" s="77">
        <v>226</v>
      </c>
      <c r="D135" s="77" t="s">
        <v>330</v>
      </c>
      <c r="E135" s="77" t="s">
        <v>350</v>
      </c>
      <c r="F135" s="78">
        <v>0</v>
      </c>
      <c r="G135" s="78">
        <v>0</v>
      </c>
      <c r="H135" s="78">
        <v>0</v>
      </c>
      <c r="I135" s="78">
        <v>0</v>
      </c>
      <c r="J135" s="78">
        <v>0</v>
      </c>
      <c r="K135" s="78" t="e">
        <f>SUMIFS(#REF!,#REF!,MLS!A135)</f>
        <v>#REF!</v>
      </c>
      <c r="L135" s="78" t="e">
        <f>SUMIFS(#REF!,#REF!,MLS!A135)</f>
        <v>#REF!</v>
      </c>
      <c r="M135" s="78">
        <v>0</v>
      </c>
      <c r="N135" s="78">
        <f>ROUND(SUMIFS(TB_Convert!M:M,TB_Convert!A:A,A135),0)</f>
        <v>0</v>
      </c>
      <c r="O135" s="89" t="str">
        <f t="shared" si="33"/>
        <v>H</v>
      </c>
    </row>
    <row r="136" spans="1:15" x14ac:dyDescent="0.2">
      <c r="A136" s="95">
        <v>226003</v>
      </c>
      <c r="B136" s="77">
        <v>21423</v>
      </c>
      <c r="C136" s="77">
        <v>226</v>
      </c>
      <c r="D136" s="77" t="s">
        <v>345</v>
      </c>
      <c r="E136" s="77" t="s">
        <v>351</v>
      </c>
      <c r="F136" s="78">
        <v>0</v>
      </c>
      <c r="G136" s="78">
        <v>0</v>
      </c>
      <c r="H136" s="78">
        <v>0</v>
      </c>
      <c r="I136" s="78">
        <v>0</v>
      </c>
      <c r="J136" s="78">
        <v>0</v>
      </c>
      <c r="K136" s="78" t="e">
        <f>SUMIFS(#REF!,#REF!,MLS!A136)</f>
        <v>#REF!</v>
      </c>
      <c r="L136" s="78" t="e">
        <f>SUMIFS(#REF!,#REF!,MLS!A136)</f>
        <v>#REF!</v>
      </c>
      <c r="M136" s="78">
        <v>0</v>
      </c>
      <c r="N136" s="78">
        <f>ROUND(SUMIFS(TB_Convert!M:M,TB_Convert!A:A,A136),0)</f>
        <v>0</v>
      </c>
      <c r="O136" s="89" t="str">
        <f t="shared" si="33"/>
        <v>H</v>
      </c>
    </row>
    <row r="137" spans="1:15" x14ac:dyDescent="0.2">
      <c r="A137" s="95">
        <v>226004</v>
      </c>
      <c r="B137" s="77">
        <v>21124</v>
      </c>
      <c r="C137" s="77">
        <v>226</v>
      </c>
      <c r="D137" s="77" t="s">
        <v>346</v>
      </c>
      <c r="E137" s="77" t="s">
        <v>352</v>
      </c>
      <c r="F137" s="78">
        <v>0</v>
      </c>
      <c r="G137" s="78">
        <v>0</v>
      </c>
      <c r="H137" s="78">
        <v>0</v>
      </c>
      <c r="I137" s="78">
        <v>0</v>
      </c>
      <c r="J137" s="78">
        <v>0</v>
      </c>
      <c r="K137" s="78" t="e">
        <f>SUMIFS(#REF!,#REF!,MLS!A137)</f>
        <v>#REF!</v>
      </c>
      <c r="L137" s="78" t="e">
        <f>SUMIFS(#REF!,#REF!,MLS!A137)</f>
        <v>#REF!</v>
      </c>
      <c r="M137" s="78">
        <v>0</v>
      </c>
      <c r="N137" s="78">
        <f>ROUND(SUMIFS(TB_Convert!M:M,TB_Convert!A:A,A137),0)</f>
        <v>0</v>
      </c>
      <c r="O137" s="89" t="str">
        <f t="shared" ref="O137:O200" si="56">IF(SUM(F137:J137)=0,"H","S")</f>
        <v>H</v>
      </c>
    </row>
    <row r="138" spans="1:15" x14ac:dyDescent="0.2">
      <c r="A138" s="95">
        <v>226005</v>
      </c>
      <c r="B138" s="77">
        <v>21125</v>
      </c>
      <c r="C138" s="77">
        <v>226</v>
      </c>
      <c r="D138" s="77" t="s">
        <v>348</v>
      </c>
      <c r="E138" s="77" t="s">
        <v>354</v>
      </c>
      <c r="F138" s="78">
        <v>0</v>
      </c>
      <c r="G138" s="78">
        <v>0</v>
      </c>
      <c r="H138" s="78">
        <v>0</v>
      </c>
      <c r="I138" s="78">
        <v>0</v>
      </c>
      <c r="J138" s="78">
        <v>0</v>
      </c>
      <c r="K138" s="78" t="e">
        <f>SUMIFS(#REF!,#REF!,MLS!A138)</f>
        <v>#REF!</v>
      </c>
      <c r="L138" s="78" t="e">
        <f>SUMIFS(#REF!,#REF!,MLS!A138)</f>
        <v>#REF!</v>
      </c>
      <c r="M138" s="78">
        <v>0</v>
      </c>
      <c r="N138" s="78">
        <f>ROUND(SUMIFS(TB_Convert!M:M,TB_Convert!A:A,A138),0)</f>
        <v>0</v>
      </c>
      <c r="O138" s="89" t="str">
        <f t="shared" si="56"/>
        <v>H</v>
      </c>
    </row>
    <row r="139" spans="1:15" x14ac:dyDescent="0.2">
      <c r="A139" s="79"/>
      <c r="B139" s="80"/>
      <c r="C139" s="80"/>
      <c r="D139" s="80" t="s">
        <v>39</v>
      </c>
      <c r="E139" s="80" t="s">
        <v>156</v>
      </c>
      <c r="F139" s="81">
        <v>0</v>
      </c>
      <c r="G139" s="81">
        <v>0</v>
      </c>
      <c r="H139" s="81">
        <v>0</v>
      </c>
      <c r="I139" s="81">
        <v>0</v>
      </c>
      <c r="J139" s="81">
        <v>0</v>
      </c>
      <c r="K139" s="81" t="e">
        <f t="shared" ref="K139:M139" si="57">SUM(K134:K138)</f>
        <v>#REF!</v>
      </c>
      <c r="L139" s="81" t="e">
        <f t="shared" si="57"/>
        <v>#REF!</v>
      </c>
      <c r="M139" s="81">
        <v>0</v>
      </c>
      <c r="N139" s="81">
        <f t="shared" ref="N139" si="58">SUM(N134:N138)</f>
        <v>0</v>
      </c>
      <c r="O139" s="89" t="str">
        <f t="shared" si="56"/>
        <v>H</v>
      </c>
    </row>
    <row r="140" spans="1:15" x14ac:dyDescent="0.2">
      <c r="A140" s="97"/>
      <c r="B140" s="93"/>
      <c r="C140" s="93">
        <v>224</v>
      </c>
      <c r="D140" s="93" t="s">
        <v>40</v>
      </c>
      <c r="E140" s="93" t="s">
        <v>157</v>
      </c>
      <c r="F140" s="94">
        <v>0</v>
      </c>
      <c r="G140" s="94">
        <v>0</v>
      </c>
      <c r="H140" s="94">
        <v>0</v>
      </c>
      <c r="I140" s="94">
        <v>0</v>
      </c>
      <c r="J140" s="94">
        <v>0</v>
      </c>
      <c r="K140" s="94" t="e">
        <f t="shared" ref="K140:M140" si="59">SUM(K133,K139)</f>
        <v>#REF!</v>
      </c>
      <c r="L140" s="94" t="e">
        <f t="shared" si="59"/>
        <v>#REF!</v>
      </c>
      <c r="M140" s="94">
        <v>0</v>
      </c>
      <c r="N140" s="94">
        <f t="shared" ref="N140" si="60">SUM(N133,N139)</f>
        <v>0</v>
      </c>
      <c r="O140" s="89" t="str">
        <f t="shared" si="56"/>
        <v>H</v>
      </c>
    </row>
    <row r="141" spans="1:15" x14ac:dyDescent="0.2">
      <c r="A141" s="95">
        <v>228001</v>
      </c>
      <c r="B141" s="77">
        <v>2131</v>
      </c>
      <c r="C141" s="77">
        <v>228</v>
      </c>
      <c r="D141" s="77" t="s">
        <v>355</v>
      </c>
      <c r="E141" s="77" t="s">
        <v>356</v>
      </c>
      <c r="F141" s="78">
        <v>0</v>
      </c>
      <c r="G141" s="78">
        <v>0</v>
      </c>
      <c r="H141" s="78">
        <v>0</v>
      </c>
      <c r="I141" s="78">
        <v>0</v>
      </c>
      <c r="J141" s="78">
        <v>0</v>
      </c>
      <c r="K141" s="78" t="e">
        <f>SUMIFS(#REF!,#REF!,MLS!A141)</f>
        <v>#REF!</v>
      </c>
      <c r="L141" s="78" t="e">
        <f>SUMIFS(#REF!,#REF!,MLS!A141)</f>
        <v>#REF!</v>
      </c>
      <c r="M141" s="78">
        <v>0</v>
      </c>
      <c r="N141" s="78">
        <f>ROUND(SUMIFS(TB_Convert!M:M,TB_Convert!A:A,A141),0)</f>
        <v>0</v>
      </c>
      <c r="O141" s="89" t="str">
        <f t="shared" si="56"/>
        <v>H</v>
      </c>
    </row>
    <row r="142" spans="1:15" x14ac:dyDescent="0.2">
      <c r="A142" s="95">
        <v>228002</v>
      </c>
      <c r="B142" s="77">
        <v>2132</v>
      </c>
      <c r="C142" s="77">
        <v>228</v>
      </c>
      <c r="D142" s="77" t="s">
        <v>357</v>
      </c>
      <c r="E142" s="77" t="s">
        <v>358</v>
      </c>
      <c r="F142" s="78">
        <v>0</v>
      </c>
      <c r="G142" s="78">
        <v>0</v>
      </c>
      <c r="H142" s="78">
        <v>0</v>
      </c>
      <c r="I142" s="78">
        <v>0</v>
      </c>
      <c r="J142" s="78">
        <v>0</v>
      </c>
      <c r="K142" s="78" t="e">
        <f>SUMIFS(#REF!,#REF!,MLS!A142)</f>
        <v>#REF!</v>
      </c>
      <c r="L142" s="78" t="e">
        <f>SUMIFS(#REF!,#REF!,MLS!A142)</f>
        <v>#REF!</v>
      </c>
      <c r="M142" s="78">
        <v>0</v>
      </c>
      <c r="N142" s="78">
        <f>ROUND(SUMIFS(TB_Convert!M:M,TB_Convert!A:A,A142),0)</f>
        <v>0</v>
      </c>
      <c r="O142" s="89" t="str">
        <f t="shared" si="56"/>
        <v>H</v>
      </c>
    </row>
    <row r="143" spans="1:15" x14ac:dyDescent="0.2">
      <c r="A143" s="95">
        <v>228003</v>
      </c>
      <c r="B143" s="77">
        <v>2133</v>
      </c>
      <c r="C143" s="77">
        <v>228</v>
      </c>
      <c r="D143" s="77" t="s">
        <v>359</v>
      </c>
      <c r="E143" s="77" t="s">
        <v>360</v>
      </c>
      <c r="F143" s="78">
        <v>0</v>
      </c>
      <c r="G143" s="78">
        <v>0</v>
      </c>
      <c r="H143" s="78">
        <v>0</v>
      </c>
      <c r="I143" s="78">
        <v>0</v>
      </c>
      <c r="J143" s="78">
        <v>0</v>
      </c>
      <c r="K143" s="78" t="e">
        <f>SUMIFS(#REF!,#REF!,MLS!A143)</f>
        <v>#REF!</v>
      </c>
      <c r="L143" s="78" t="e">
        <f>SUMIFS(#REF!,#REF!,MLS!A143)</f>
        <v>#REF!</v>
      </c>
      <c r="M143" s="78">
        <v>0</v>
      </c>
      <c r="N143" s="78">
        <f>ROUND(SUMIFS(TB_Convert!M:M,TB_Convert!A:A,A143),0)</f>
        <v>0</v>
      </c>
      <c r="O143" s="89" t="str">
        <f t="shared" si="56"/>
        <v>H</v>
      </c>
    </row>
    <row r="144" spans="1:15" x14ac:dyDescent="0.2">
      <c r="A144" s="95">
        <v>228004</v>
      </c>
      <c r="B144" s="77">
        <v>2134</v>
      </c>
      <c r="C144" s="77">
        <v>228</v>
      </c>
      <c r="D144" s="77" t="s">
        <v>361</v>
      </c>
      <c r="E144" s="77" t="s">
        <v>362</v>
      </c>
      <c r="F144" s="78">
        <v>0</v>
      </c>
      <c r="G144" s="78">
        <v>0</v>
      </c>
      <c r="H144" s="78">
        <v>0</v>
      </c>
      <c r="I144" s="78">
        <v>0</v>
      </c>
      <c r="J144" s="78">
        <v>0</v>
      </c>
      <c r="K144" s="78" t="e">
        <f>SUMIFS(#REF!,#REF!,MLS!A144)</f>
        <v>#REF!</v>
      </c>
      <c r="L144" s="78" t="e">
        <f>SUMIFS(#REF!,#REF!,MLS!A144)</f>
        <v>#REF!</v>
      </c>
      <c r="M144" s="78">
        <v>0</v>
      </c>
      <c r="N144" s="78">
        <f>ROUND(SUMIFS(TB_Convert!M:M,TB_Convert!A:A,A144),0)</f>
        <v>0</v>
      </c>
      <c r="O144" s="89" t="str">
        <f t="shared" si="56"/>
        <v>H</v>
      </c>
    </row>
    <row r="145" spans="1:17" x14ac:dyDescent="0.2">
      <c r="A145" s="95">
        <v>228005</v>
      </c>
      <c r="B145" s="77">
        <v>2135</v>
      </c>
      <c r="C145" s="77">
        <v>228</v>
      </c>
      <c r="D145" s="77" t="s">
        <v>363</v>
      </c>
      <c r="E145" s="77" t="s">
        <v>364</v>
      </c>
      <c r="F145" s="78">
        <v>8358798645</v>
      </c>
      <c r="G145" s="78">
        <v>0</v>
      </c>
      <c r="H145" s="78">
        <v>0</v>
      </c>
      <c r="I145" s="78">
        <v>8358798645</v>
      </c>
      <c r="J145" s="78">
        <v>8358798645</v>
      </c>
      <c r="K145" s="78" t="e">
        <f>SUMIFS(#REF!,#REF!,MLS!A145)</f>
        <v>#REF!</v>
      </c>
      <c r="L145" s="78" t="e">
        <f>SUMIFS(#REF!,#REF!,MLS!A145)</f>
        <v>#REF!</v>
      </c>
      <c r="M145" s="78">
        <v>8358798645</v>
      </c>
      <c r="N145" s="78">
        <f>ROUND(SUMIFS(TB_Convert!M:M,TB_Convert!A:A,A145),0)</f>
        <v>8358798645</v>
      </c>
      <c r="O145" s="89" t="str">
        <f t="shared" si="56"/>
        <v>S</v>
      </c>
    </row>
    <row r="146" spans="1:17" x14ac:dyDescent="0.2">
      <c r="A146" s="95">
        <v>228006</v>
      </c>
      <c r="B146" s="77">
        <v>2136</v>
      </c>
      <c r="C146" s="77">
        <v>228</v>
      </c>
      <c r="D146" s="77" t="s">
        <v>365</v>
      </c>
      <c r="E146" s="77" t="s">
        <v>366</v>
      </c>
      <c r="F146" s="78">
        <v>0</v>
      </c>
      <c r="G146" s="78">
        <v>0</v>
      </c>
      <c r="H146" s="78">
        <v>0</v>
      </c>
      <c r="I146" s="78">
        <v>0</v>
      </c>
      <c r="J146" s="78">
        <v>0</v>
      </c>
      <c r="K146" s="78" t="e">
        <f>SUMIFS(#REF!,#REF!,MLS!A146)</f>
        <v>#REF!</v>
      </c>
      <c r="L146" s="78" t="e">
        <f>SUMIFS(#REF!,#REF!,MLS!A146)</f>
        <v>#REF!</v>
      </c>
      <c r="M146" s="78">
        <v>0</v>
      </c>
      <c r="N146" s="78">
        <f>ROUND(SUMIFS(TB_Convert!M:M,TB_Convert!A:A,A146),0)</f>
        <v>0</v>
      </c>
      <c r="O146" s="89" t="str">
        <f t="shared" si="56"/>
        <v>H</v>
      </c>
    </row>
    <row r="147" spans="1:17" x14ac:dyDescent="0.2">
      <c r="A147" s="95">
        <v>228007</v>
      </c>
      <c r="B147" s="77">
        <v>2138</v>
      </c>
      <c r="C147" s="77">
        <v>228</v>
      </c>
      <c r="D147" s="77" t="s">
        <v>367</v>
      </c>
      <c r="E147" s="77" t="s">
        <v>368</v>
      </c>
      <c r="F147" s="78">
        <v>0</v>
      </c>
      <c r="G147" s="78">
        <v>0</v>
      </c>
      <c r="H147" s="78">
        <v>0</v>
      </c>
      <c r="I147" s="78">
        <v>0</v>
      </c>
      <c r="J147" s="78">
        <v>0</v>
      </c>
      <c r="K147" s="78" t="e">
        <f>SUMIFS(#REF!,#REF!,MLS!A147)</f>
        <v>#REF!</v>
      </c>
      <c r="L147" s="78" t="e">
        <f>SUMIFS(#REF!,#REF!,MLS!A147)</f>
        <v>#REF!</v>
      </c>
      <c r="M147" s="78">
        <v>0</v>
      </c>
      <c r="N147" s="78">
        <f>ROUND(SUMIFS(TB_Convert!M:M,TB_Convert!A:A,A147),0)</f>
        <v>0</v>
      </c>
      <c r="O147" s="89" t="str">
        <f t="shared" si="56"/>
        <v>H</v>
      </c>
    </row>
    <row r="148" spans="1:17" x14ac:dyDescent="0.2">
      <c r="A148" s="79"/>
      <c r="B148" s="80"/>
      <c r="C148" s="80"/>
      <c r="D148" s="80" t="s">
        <v>38</v>
      </c>
      <c r="E148" s="80" t="s">
        <v>155</v>
      </c>
      <c r="F148" s="81">
        <v>8358798645</v>
      </c>
      <c r="G148" s="81">
        <v>0</v>
      </c>
      <c r="H148" s="81">
        <v>0</v>
      </c>
      <c r="I148" s="81">
        <v>8358798645</v>
      </c>
      <c r="J148" s="81">
        <v>8358798645</v>
      </c>
      <c r="K148" s="81" t="e">
        <f t="shared" ref="K148:M148" si="61">SUM(K141:K147)</f>
        <v>#REF!</v>
      </c>
      <c r="L148" s="81" t="e">
        <f t="shared" si="61"/>
        <v>#REF!</v>
      </c>
      <c r="M148" s="81">
        <v>8358798645</v>
      </c>
      <c r="N148" s="81">
        <f t="shared" ref="N148" si="62">SUM(N141:N147)</f>
        <v>8358798645</v>
      </c>
      <c r="O148" s="89" t="str">
        <f t="shared" si="56"/>
        <v>S</v>
      </c>
    </row>
    <row r="149" spans="1:17" x14ac:dyDescent="0.2">
      <c r="A149" s="95">
        <v>229001</v>
      </c>
      <c r="B149" s="77">
        <v>21431</v>
      </c>
      <c r="C149" s="77">
        <v>229</v>
      </c>
      <c r="D149" s="77" t="s">
        <v>369</v>
      </c>
      <c r="E149" s="77" t="s">
        <v>375</v>
      </c>
      <c r="F149" s="78">
        <v>0</v>
      </c>
      <c r="G149" s="78">
        <v>0</v>
      </c>
      <c r="H149" s="78">
        <v>0</v>
      </c>
      <c r="I149" s="78">
        <v>0</v>
      </c>
      <c r="J149" s="78">
        <v>0</v>
      </c>
      <c r="K149" s="78" t="e">
        <f>SUMIFS(#REF!,#REF!,MLS!A149)</f>
        <v>#REF!</v>
      </c>
      <c r="L149" s="78" t="e">
        <f>SUMIFS(#REF!,#REF!,MLS!A149)</f>
        <v>#REF!</v>
      </c>
      <c r="M149" s="78">
        <v>0</v>
      </c>
      <c r="N149" s="78">
        <f>ROUND(SUMIFS(TB_Convert!M:M,TB_Convert!A:A,A149),0)</f>
        <v>0</v>
      </c>
      <c r="O149" s="89" t="str">
        <f t="shared" si="56"/>
        <v>H</v>
      </c>
    </row>
    <row r="150" spans="1:17" x14ac:dyDescent="0.2">
      <c r="A150" s="95">
        <v>229002</v>
      </c>
      <c r="B150" s="77">
        <v>21432</v>
      </c>
      <c r="C150" s="77">
        <v>229</v>
      </c>
      <c r="D150" s="77" t="s">
        <v>370</v>
      </c>
      <c r="E150" s="77" t="s">
        <v>376</v>
      </c>
      <c r="F150" s="78">
        <v>0</v>
      </c>
      <c r="G150" s="78">
        <v>0</v>
      </c>
      <c r="H150" s="78">
        <v>0</v>
      </c>
      <c r="I150" s="78">
        <v>0</v>
      </c>
      <c r="J150" s="78">
        <v>0</v>
      </c>
      <c r="K150" s="78" t="e">
        <f>SUMIFS(#REF!,#REF!,MLS!A150)</f>
        <v>#REF!</v>
      </c>
      <c r="L150" s="78" t="e">
        <f>SUMIFS(#REF!,#REF!,MLS!A150)</f>
        <v>#REF!</v>
      </c>
      <c r="M150" s="78">
        <v>0</v>
      </c>
      <c r="N150" s="78">
        <f>ROUND(SUMIFS(TB_Convert!M:M,TB_Convert!A:A,A150),0)</f>
        <v>0</v>
      </c>
      <c r="O150" s="89" t="str">
        <f t="shared" si="56"/>
        <v>H</v>
      </c>
    </row>
    <row r="151" spans="1:17" x14ac:dyDescent="0.2">
      <c r="A151" s="95">
        <v>229003</v>
      </c>
      <c r="B151" s="77">
        <v>21433</v>
      </c>
      <c r="C151" s="77">
        <v>229</v>
      </c>
      <c r="D151" s="77" t="s">
        <v>371</v>
      </c>
      <c r="E151" s="77" t="s">
        <v>377</v>
      </c>
      <c r="F151" s="78">
        <v>0</v>
      </c>
      <c r="G151" s="78">
        <v>0</v>
      </c>
      <c r="H151" s="78">
        <v>0</v>
      </c>
      <c r="I151" s="78">
        <v>0</v>
      </c>
      <c r="J151" s="78">
        <v>0</v>
      </c>
      <c r="K151" s="78" t="e">
        <f>SUMIFS(#REF!,#REF!,MLS!A151)</f>
        <v>#REF!</v>
      </c>
      <c r="L151" s="78" t="e">
        <f>SUMIFS(#REF!,#REF!,MLS!A151)</f>
        <v>#REF!</v>
      </c>
      <c r="M151" s="78">
        <v>0</v>
      </c>
      <c r="N151" s="78">
        <f>ROUND(SUMIFS(TB_Convert!M:M,TB_Convert!A:A,A151),0)</f>
        <v>0</v>
      </c>
      <c r="O151" s="89" t="str">
        <f t="shared" si="56"/>
        <v>H</v>
      </c>
    </row>
    <row r="152" spans="1:17" x14ac:dyDescent="0.2">
      <c r="A152" s="95">
        <v>229004</v>
      </c>
      <c r="B152" s="77">
        <v>21434</v>
      </c>
      <c r="C152" s="77">
        <v>229</v>
      </c>
      <c r="D152" s="77" t="s">
        <v>372</v>
      </c>
      <c r="E152" s="77" t="s">
        <v>378</v>
      </c>
      <c r="F152" s="78">
        <v>0</v>
      </c>
      <c r="G152" s="78">
        <v>0</v>
      </c>
      <c r="H152" s="78">
        <v>0</v>
      </c>
      <c r="I152" s="78">
        <v>0</v>
      </c>
      <c r="J152" s="78">
        <v>0</v>
      </c>
      <c r="K152" s="78" t="e">
        <f>SUMIFS(#REF!,#REF!,MLS!A152)</f>
        <v>#REF!</v>
      </c>
      <c r="L152" s="78" t="e">
        <f>SUMIFS(#REF!,#REF!,MLS!A152)</f>
        <v>#REF!</v>
      </c>
      <c r="M152" s="78">
        <v>0</v>
      </c>
      <c r="N152" s="78">
        <f>ROUND(SUMIFS(TB_Convert!M:M,TB_Convert!A:A,A152),0)</f>
        <v>0</v>
      </c>
      <c r="O152" s="89" t="str">
        <f t="shared" si="56"/>
        <v>H</v>
      </c>
    </row>
    <row r="153" spans="1:17" x14ac:dyDescent="0.2">
      <c r="A153" s="95">
        <v>229005</v>
      </c>
      <c r="B153" s="77">
        <v>21435</v>
      </c>
      <c r="C153" s="77">
        <v>229</v>
      </c>
      <c r="D153" s="77" t="s">
        <v>373</v>
      </c>
      <c r="E153" s="77" t="s">
        <v>379</v>
      </c>
      <c r="F153" s="78">
        <v>-8358798645</v>
      </c>
      <c r="G153" s="78">
        <v>0</v>
      </c>
      <c r="H153" s="78">
        <v>0</v>
      </c>
      <c r="I153" s="78">
        <v>-8358798645</v>
      </c>
      <c r="J153" s="78">
        <v>-8358798645</v>
      </c>
      <c r="K153" s="78" t="e">
        <f>SUMIFS(#REF!,#REF!,MLS!A153)</f>
        <v>#REF!</v>
      </c>
      <c r="L153" s="78" t="e">
        <f>SUMIFS(#REF!,#REF!,MLS!A153)</f>
        <v>#REF!</v>
      </c>
      <c r="M153" s="78">
        <v>-8358798645</v>
      </c>
      <c r="N153" s="78">
        <f>ROUND(SUMIFS(TB_Convert!M:M,TB_Convert!A:A,A153),0)</f>
        <v>-8358798645</v>
      </c>
      <c r="O153" s="89" t="str">
        <f t="shared" si="56"/>
        <v>S</v>
      </c>
    </row>
    <row r="154" spans="1:17" x14ac:dyDescent="0.2">
      <c r="A154" s="95">
        <v>229006</v>
      </c>
      <c r="B154" s="77">
        <v>21436</v>
      </c>
      <c r="C154" s="77">
        <v>229</v>
      </c>
      <c r="D154" s="77" t="s">
        <v>374</v>
      </c>
      <c r="E154" s="77" t="s">
        <v>380</v>
      </c>
      <c r="F154" s="78">
        <v>0</v>
      </c>
      <c r="G154" s="78">
        <v>0</v>
      </c>
      <c r="H154" s="78">
        <v>0</v>
      </c>
      <c r="I154" s="78">
        <v>0</v>
      </c>
      <c r="J154" s="78">
        <v>0</v>
      </c>
      <c r="K154" s="78" t="e">
        <f>SUMIFS(#REF!,#REF!,MLS!A154)</f>
        <v>#REF!</v>
      </c>
      <c r="L154" s="78" t="e">
        <f>SUMIFS(#REF!,#REF!,MLS!A154)</f>
        <v>#REF!</v>
      </c>
      <c r="M154" s="78">
        <v>0</v>
      </c>
      <c r="N154" s="78">
        <f>ROUND(SUMIFS(TB_Convert!M:M,TB_Convert!A:A,A154),0)</f>
        <v>0</v>
      </c>
      <c r="O154" s="89" t="str">
        <f t="shared" si="56"/>
        <v>H</v>
      </c>
    </row>
    <row r="155" spans="1:17" x14ac:dyDescent="0.2">
      <c r="A155" s="95">
        <v>229007</v>
      </c>
      <c r="B155" s="77">
        <v>21438</v>
      </c>
      <c r="C155" s="77">
        <v>229</v>
      </c>
      <c r="D155" s="77" t="s">
        <v>382</v>
      </c>
      <c r="E155" s="77" t="s">
        <v>381</v>
      </c>
      <c r="F155" s="78">
        <v>0</v>
      </c>
      <c r="G155" s="78">
        <v>0</v>
      </c>
      <c r="H155" s="78">
        <v>0</v>
      </c>
      <c r="I155" s="78">
        <v>0</v>
      </c>
      <c r="J155" s="78">
        <v>0</v>
      </c>
      <c r="K155" s="78" t="e">
        <f>SUMIFS(#REF!,#REF!,MLS!A155)</f>
        <v>#REF!</v>
      </c>
      <c r="L155" s="78" t="e">
        <f>SUMIFS(#REF!,#REF!,MLS!A155)</f>
        <v>#REF!</v>
      </c>
      <c r="M155" s="78">
        <v>0</v>
      </c>
      <c r="N155" s="78">
        <f>ROUND(SUMIFS(TB_Convert!M:M,TB_Convert!A:A,A155),0)</f>
        <v>0</v>
      </c>
      <c r="O155" s="89" t="str">
        <f t="shared" si="56"/>
        <v>H</v>
      </c>
    </row>
    <row r="156" spans="1:17" x14ac:dyDescent="0.2">
      <c r="A156" s="79"/>
      <c r="B156" s="80"/>
      <c r="C156" s="80"/>
      <c r="D156" s="80" t="s">
        <v>42</v>
      </c>
      <c r="E156" s="80" t="s">
        <v>156</v>
      </c>
      <c r="F156" s="81">
        <v>-8358798645</v>
      </c>
      <c r="G156" s="81">
        <v>0</v>
      </c>
      <c r="H156" s="81">
        <v>0</v>
      </c>
      <c r="I156" s="81">
        <v>-8358798645</v>
      </c>
      <c r="J156" s="81">
        <v>-8358798645</v>
      </c>
      <c r="K156" s="81" t="e">
        <f t="shared" ref="K156:M156" si="63">SUM(K149:K155)</f>
        <v>#REF!</v>
      </c>
      <c r="L156" s="81" t="e">
        <f t="shared" si="63"/>
        <v>#REF!</v>
      </c>
      <c r="M156" s="81">
        <v>-8358798645</v>
      </c>
      <c r="N156" s="81">
        <f t="shared" ref="N156" si="64">SUM(N149:N155)</f>
        <v>-8358798645</v>
      </c>
      <c r="O156" s="89" t="str">
        <f t="shared" si="56"/>
        <v>S</v>
      </c>
    </row>
    <row r="157" spans="1:17" x14ac:dyDescent="0.2">
      <c r="A157" s="97"/>
      <c r="B157" s="93"/>
      <c r="C157" s="93">
        <v>227</v>
      </c>
      <c r="D157" s="93" t="s">
        <v>41</v>
      </c>
      <c r="E157" s="93" t="s">
        <v>158</v>
      </c>
      <c r="F157" s="94">
        <v>0</v>
      </c>
      <c r="G157" s="94">
        <v>0</v>
      </c>
      <c r="H157" s="94">
        <v>0</v>
      </c>
      <c r="I157" s="94">
        <v>0</v>
      </c>
      <c r="J157" s="94">
        <v>0</v>
      </c>
      <c r="K157" s="94" t="e">
        <f t="shared" ref="K157:M157" si="65">SUM(K148,K156)</f>
        <v>#REF!</v>
      </c>
      <c r="L157" s="94" t="e">
        <f t="shared" si="65"/>
        <v>#REF!</v>
      </c>
      <c r="M157" s="94">
        <v>0</v>
      </c>
      <c r="N157" s="94">
        <f t="shared" ref="N157" si="66">SUM(N148,N156)</f>
        <v>0</v>
      </c>
      <c r="O157" s="89" t="str">
        <f t="shared" si="56"/>
        <v>H</v>
      </c>
    </row>
    <row r="158" spans="1:17" x14ac:dyDescent="0.2">
      <c r="A158" s="108"/>
      <c r="B158" s="109"/>
      <c r="C158" s="109">
        <v>220</v>
      </c>
      <c r="D158" s="109" t="s">
        <v>36</v>
      </c>
      <c r="E158" s="109" t="s">
        <v>153</v>
      </c>
      <c r="F158" s="110">
        <v>0</v>
      </c>
      <c r="G158" s="110">
        <v>0</v>
      </c>
      <c r="H158" s="110">
        <v>0</v>
      </c>
      <c r="I158" s="110">
        <v>0</v>
      </c>
      <c r="J158" s="110">
        <v>0</v>
      </c>
      <c r="K158" s="110" t="e">
        <f t="shared" ref="K158:M158" si="67">SUM(K127,K140,K157)</f>
        <v>#REF!</v>
      </c>
      <c r="L158" s="110" t="e">
        <f t="shared" si="67"/>
        <v>#REF!</v>
      </c>
      <c r="M158" s="110">
        <v>0</v>
      </c>
      <c r="N158" s="110">
        <f t="shared" ref="N158" si="68">SUM(N127,N140,N157)</f>
        <v>0</v>
      </c>
      <c r="O158" s="89" t="str">
        <f t="shared" si="56"/>
        <v>H</v>
      </c>
    </row>
    <row r="159" spans="1:17" x14ac:dyDescent="0.2">
      <c r="A159" s="95">
        <v>231001</v>
      </c>
      <c r="B159" s="77">
        <v>217</v>
      </c>
      <c r="C159" s="77">
        <v>231</v>
      </c>
      <c r="D159" s="77" t="s">
        <v>355</v>
      </c>
      <c r="E159" s="77" t="s">
        <v>356</v>
      </c>
      <c r="F159" s="78">
        <v>0</v>
      </c>
      <c r="G159" s="78">
        <v>0</v>
      </c>
      <c r="H159" s="78">
        <v>0</v>
      </c>
      <c r="I159" s="78">
        <v>0</v>
      </c>
      <c r="J159" s="78">
        <v>0</v>
      </c>
      <c r="K159" s="78" t="e">
        <f>SUMIFS(#REF!,#REF!,MLS!A159)</f>
        <v>#REF!</v>
      </c>
      <c r="L159" s="78" t="e">
        <f>SUMIFS(#REF!,#REF!,MLS!A159)</f>
        <v>#REF!</v>
      </c>
      <c r="M159" s="78">
        <v>0</v>
      </c>
      <c r="N159" s="78">
        <f>ROUND(SUMIFS(TB_Convert!M:M,TB_Convert!A:A,A159),0)</f>
        <v>0</v>
      </c>
      <c r="O159" s="89" t="str">
        <f t="shared" si="56"/>
        <v>H</v>
      </c>
    </row>
    <row r="160" spans="1:17" x14ac:dyDescent="0.2">
      <c r="A160" s="95">
        <v>231002</v>
      </c>
      <c r="B160" s="77">
        <v>217</v>
      </c>
      <c r="C160" s="77">
        <v>231</v>
      </c>
      <c r="D160" s="77" t="s">
        <v>327</v>
      </c>
      <c r="E160" s="77" t="s">
        <v>331</v>
      </c>
      <c r="F160" s="78">
        <v>5694382728889</v>
      </c>
      <c r="G160" s="78">
        <v>0</v>
      </c>
      <c r="H160" s="78">
        <v>0</v>
      </c>
      <c r="I160" s="78">
        <v>5694382728889</v>
      </c>
      <c r="J160" s="78">
        <v>5698601800765</v>
      </c>
      <c r="K160" s="78" t="e">
        <f>SUMIFS(#REF!,#REF!,MLS!A160)</f>
        <v>#REF!</v>
      </c>
      <c r="L160" s="78" t="e">
        <f>SUMIFS(#REF!,#REF!,MLS!A160)</f>
        <v>#REF!</v>
      </c>
      <c r="M160" s="78">
        <v>5698601800765</v>
      </c>
      <c r="N160" s="78">
        <f>ROUND(SUMIFS(TB_Convert!M:M,TB_Convert!A:A,A160),0)</f>
        <v>5699135083895</v>
      </c>
      <c r="O160" s="89" t="str">
        <f t="shared" si="56"/>
        <v>S</v>
      </c>
      <c r="Q160" s="114"/>
    </row>
    <row r="161" spans="1:15" x14ac:dyDescent="0.2">
      <c r="A161" s="95">
        <v>231003</v>
      </c>
      <c r="B161" s="77">
        <v>217</v>
      </c>
      <c r="C161" s="77">
        <v>231</v>
      </c>
      <c r="D161" s="77" t="s">
        <v>383</v>
      </c>
      <c r="E161" s="77" t="s">
        <v>384</v>
      </c>
      <c r="F161" s="78">
        <v>501355399936</v>
      </c>
      <c r="G161" s="78">
        <v>0</v>
      </c>
      <c r="H161" s="78">
        <v>0</v>
      </c>
      <c r="I161" s="78">
        <v>501355399936</v>
      </c>
      <c r="J161" s="78">
        <v>501355399936</v>
      </c>
      <c r="K161" s="78" t="e">
        <f>SUMIFS(#REF!,#REF!,MLS!A161)</f>
        <v>#REF!</v>
      </c>
      <c r="L161" s="78" t="e">
        <f>SUMIFS(#REF!,#REF!,MLS!A161)</f>
        <v>#REF!</v>
      </c>
      <c r="M161" s="78">
        <v>501355399936</v>
      </c>
      <c r="N161" s="78">
        <f>ROUND(SUMIFS(TB_Convert!M:M,TB_Convert!A:A,A161),0)</f>
        <v>504585604729</v>
      </c>
      <c r="O161" s="89" t="str">
        <f t="shared" si="56"/>
        <v>S</v>
      </c>
    </row>
    <row r="162" spans="1:15" x14ac:dyDescent="0.2">
      <c r="A162" s="79"/>
      <c r="B162" s="80"/>
      <c r="C162" s="80"/>
      <c r="D162" s="80" t="s">
        <v>38</v>
      </c>
      <c r="E162" s="80" t="s">
        <v>155</v>
      </c>
      <c r="F162" s="81">
        <v>6195738128825</v>
      </c>
      <c r="G162" s="81">
        <v>0</v>
      </c>
      <c r="H162" s="81">
        <v>0</v>
      </c>
      <c r="I162" s="81">
        <v>6195738128825</v>
      </c>
      <c r="J162" s="81">
        <v>6199957200701</v>
      </c>
      <c r="K162" s="81" t="e">
        <f t="shared" ref="K162:M162" si="69">SUM(K159:K161)</f>
        <v>#REF!</v>
      </c>
      <c r="L162" s="81" t="e">
        <f t="shared" si="69"/>
        <v>#REF!</v>
      </c>
      <c r="M162" s="81">
        <v>6199957200701</v>
      </c>
      <c r="N162" s="81">
        <f t="shared" ref="N162" si="70">SUM(N159:N161)</f>
        <v>6203720688624</v>
      </c>
      <c r="O162" s="89" t="str">
        <f t="shared" si="56"/>
        <v>S</v>
      </c>
    </row>
    <row r="163" spans="1:15" x14ac:dyDescent="0.2">
      <c r="A163" s="95">
        <v>232001</v>
      </c>
      <c r="B163" s="77">
        <v>2147</v>
      </c>
      <c r="C163" s="77">
        <v>232</v>
      </c>
      <c r="D163" s="77" t="s">
        <v>369</v>
      </c>
      <c r="E163" s="77" t="s">
        <v>375</v>
      </c>
      <c r="F163" s="78">
        <v>0</v>
      </c>
      <c r="G163" s="78">
        <v>0</v>
      </c>
      <c r="H163" s="78">
        <v>0</v>
      </c>
      <c r="I163" s="78">
        <v>0</v>
      </c>
      <c r="J163" s="78">
        <v>0</v>
      </c>
      <c r="K163" s="78" t="e">
        <f>SUMIFS(#REF!,#REF!,MLS!A163)</f>
        <v>#REF!</v>
      </c>
      <c r="L163" s="78" t="e">
        <f>SUMIFS(#REF!,#REF!,MLS!A163)</f>
        <v>#REF!</v>
      </c>
      <c r="M163" s="78">
        <v>0</v>
      </c>
      <c r="N163" s="78">
        <f>ROUND(SUMIFS(TB_Convert!M:M,TB_Convert!A:A,A163),0)</f>
        <v>0</v>
      </c>
      <c r="O163" s="89" t="str">
        <f t="shared" si="56"/>
        <v>H</v>
      </c>
    </row>
    <row r="164" spans="1:15" x14ac:dyDescent="0.2">
      <c r="A164" s="95">
        <v>232002</v>
      </c>
      <c r="B164" s="77">
        <v>2147</v>
      </c>
      <c r="C164" s="77">
        <v>232</v>
      </c>
      <c r="D164" s="77" t="s">
        <v>329</v>
      </c>
      <c r="E164" s="77" t="s">
        <v>332</v>
      </c>
      <c r="F164" s="78">
        <v>-893285215931</v>
      </c>
      <c r="G164" s="78">
        <v>0</v>
      </c>
      <c r="H164" s="78">
        <v>0</v>
      </c>
      <c r="I164" s="78">
        <v>-893285215931</v>
      </c>
      <c r="J164" s="78">
        <v>-1017193799697</v>
      </c>
      <c r="K164" s="78" t="e">
        <f>SUMIFS(#REF!,#REF!,MLS!A164)</f>
        <v>#REF!</v>
      </c>
      <c r="L164" s="78" t="e">
        <f>SUMIFS(#REF!,#REF!,MLS!A164)</f>
        <v>#REF!</v>
      </c>
      <c r="M164" s="78">
        <v>-1017193799697</v>
      </c>
      <c r="N164" s="78">
        <f>ROUND(SUMIFS(TB_Convert!M:M,TB_Convert!A:A,A164),0)</f>
        <v>-1141205814194</v>
      </c>
      <c r="O164" s="89" t="str">
        <f t="shared" si="56"/>
        <v>S</v>
      </c>
    </row>
    <row r="165" spans="1:15" x14ac:dyDescent="0.2">
      <c r="A165" s="95">
        <v>232003</v>
      </c>
      <c r="B165" s="77">
        <v>2147</v>
      </c>
      <c r="C165" s="77">
        <v>232</v>
      </c>
      <c r="D165" s="77" t="s">
        <v>385</v>
      </c>
      <c r="E165" s="77" t="s">
        <v>386</v>
      </c>
      <c r="F165" s="78">
        <v>-361312097588</v>
      </c>
      <c r="G165" s="78">
        <v>0</v>
      </c>
      <c r="H165" s="78">
        <v>0</v>
      </c>
      <c r="I165" s="78">
        <v>-361312097588</v>
      </c>
      <c r="J165" s="78">
        <v>-411326345351</v>
      </c>
      <c r="K165" s="78" t="e">
        <f>SUMIFS(#REF!,#REF!,MLS!A165)</f>
        <v>#REF!</v>
      </c>
      <c r="L165" s="78" t="e">
        <f>SUMIFS(#REF!,#REF!,MLS!A165)</f>
        <v>#REF!</v>
      </c>
      <c r="M165" s="78">
        <v>-411326345351</v>
      </c>
      <c r="N165" s="78">
        <f>ROUND(SUMIFS(TB_Convert!M:M,TB_Convert!A:A,A165),0)</f>
        <v>-461340593114</v>
      </c>
      <c r="O165" s="89" t="str">
        <f t="shared" si="56"/>
        <v>S</v>
      </c>
    </row>
    <row r="166" spans="1:15" x14ac:dyDescent="0.2">
      <c r="A166" s="79"/>
      <c r="B166" s="80"/>
      <c r="C166" s="80"/>
      <c r="D166" s="80" t="s">
        <v>39</v>
      </c>
      <c r="E166" s="80" t="s">
        <v>156</v>
      </c>
      <c r="F166" s="81">
        <v>-1254597313519</v>
      </c>
      <c r="G166" s="81">
        <v>0</v>
      </c>
      <c r="H166" s="81">
        <v>0</v>
      </c>
      <c r="I166" s="81">
        <v>-1254597313519</v>
      </c>
      <c r="J166" s="81">
        <v>-1428520145048</v>
      </c>
      <c r="K166" s="81" t="e">
        <f t="shared" ref="K166:M166" si="71">SUM(K163:K165)</f>
        <v>#REF!</v>
      </c>
      <c r="L166" s="81" t="e">
        <f t="shared" si="71"/>
        <v>#REF!</v>
      </c>
      <c r="M166" s="81">
        <v>-1428520145048</v>
      </c>
      <c r="N166" s="81">
        <f t="shared" ref="N166" si="72">SUM(N163:N165)</f>
        <v>-1602546407308</v>
      </c>
      <c r="O166" s="89" t="str">
        <f t="shared" si="56"/>
        <v>S</v>
      </c>
    </row>
    <row r="167" spans="1:15" x14ac:dyDescent="0.2">
      <c r="A167" s="90"/>
      <c r="B167" s="84"/>
      <c r="C167" s="84"/>
      <c r="D167" s="84" t="s">
        <v>388</v>
      </c>
      <c r="E167" s="84" t="s">
        <v>387</v>
      </c>
      <c r="F167" s="85">
        <v>4941140815306</v>
      </c>
      <c r="G167" s="85">
        <v>0</v>
      </c>
      <c r="H167" s="85">
        <v>0</v>
      </c>
      <c r="I167" s="85">
        <v>4941140815306</v>
      </c>
      <c r="J167" s="85">
        <v>4771437055653</v>
      </c>
      <c r="K167" s="85" t="e">
        <f t="shared" ref="K167:M167" si="73">K162+K166</f>
        <v>#REF!</v>
      </c>
      <c r="L167" s="85" t="e">
        <f t="shared" si="73"/>
        <v>#REF!</v>
      </c>
      <c r="M167" s="85">
        <v>4771437055653</v>
      </c>
      <c r="N167" s="85">
        <f t="shared" ref="N167" si="74">N162+N166</f>
        <v>4601174281316</v>
      </c>
      <c r="O167" s="89" t="str">
        <f t="shared" si="56"/>
        <v>S</v>
      </c>
    </row>
    <row r="168" spans="1:15" x14ac:dyDescent="0.2">
      <c r="A168" s="95">
        <v>231004</v>
      </c>
      <c r="B168" s="77">
        <v>217</v>
      </c>
      <c r="C168" s="77">
        <v>231</v>
      </c>
      <c r="D168" s="77" t="s">
        <v>355</v>
      </c>
      <c r="E168" s="77" t="s">
        <v>356</v>
      </c>
      <c r="F168" s="78">
        <v>0</v>
      </c>
      <c r="G168" s="78">
        <v>0</v>
      </c>
      <c r="H168" s="78">
        <v>0</v>
      </c>
      <c r="I168" s="78">
        <v>0</v>
      </c>
      <c r="J168" s="78">
        <v>0</v>
      </c>
      <c r="K168" s="78" t="e">
        <f>SUMIFS(#REF!,#REF!,MLS!A168)</f>
        <v>#REF!</v>
      </c>
      <c r="L168" s="78" t="e">
        <f>SUMIFS(#REF!,#REF!,MLS!A168)</f>
        <v>#REF!</v>
      </c>
      <c r="M168" s="78">
        <v>0</v>
      </c>
      <c r="N168" s="78">
        <f>ROUND(SUMIFS(TB_Convert!M:M,TB_Convert!A:A,A168),0)</f>
        <v>0</v>
      </c>
      <c r="O168" s="89" t="str">
        <f t="shared" si="56"/>
        <v>H</v>
      </c>
    </row>
    <row r="169" spans="1:15" x14ac:dyDescent="0.2">
      <c r="A169" s="95">
        <v>231005</v>
      </c>
      <c r="B169" s="77">
        <v>217</v>
      </c>
      <c r="C169" s="77">
        <v>231</v>
      </c>
      <c r="D169" s="77" t="s">
        <v>327</v>
      </c>
      <c r="E169" s="77" t="s">
        <v>331</v>
      </c>
      <c r="F169" s="78">
        <v>0</v>
      </c>
      <c r="G169" s="78">
        <v>0</v>
      </c>
      <c r="H169" s="78">
        <v>0</v>
      </c>
      <c r="I169" s="78">
        <v>0</v>
      </c>
      <c r="J169" s="78">
        <v>0</v>
      </c>
      <c r="K169" s="78" t="e">
        <f>SUMIFS(#REF!,#REF!,MLS!A169)</f>
        <v>#REF!</v>
      </c>
      <c r="L169" s="78" t="e">
        <f>SUMIFS(#REF!,#REF!,MLS!A169)</f>
        <v>#REF!</v>
      </c>
      <c r="M169" s="78">
        <v>0</v>
      </c>
      <c r="N169" s="78">
        <f>ROUND(SUMIFS(TB_Convert!M:M,TB_Convert!A:A,A169),0)</f>
        <v>0</v>
      </c>
      <c r="O169" s="89" t="str">
        <f t="shared" si="56"/>
        <v>H</v>
      </c>
    </row>
    <row r="170" spans="1:15" x14ac:dyDescent="0.2">
      <c r="A170" s="95">
        <v>231006</v>
      </c>
      <c r="B170" s="77">
        <v>217</v>
      </c>
      <c r="C170" s="77">
        <v>231</v>
      </c>
      <c r="D170" s="77" t="s">
        <v>383</v>
      </c>
      <c r="E170" s="77" t="s">
        <v>384</v>
      </c>
      <c r="F170" s="78">
        <v>0</v>
      </c>
      <c r="G170" s="78">
        <v>0</v>
      </c>
      <c r="H170" s="78">
        <v>0</v>
      </c>
      <c r="I170" s="78">
        <v>0</v>
      </c>
      <c r="J170" s="78">
        <v>0</v>
      </c>
      <c r="K170" s="78" t="e">
        <f>SUMIFS(#REF!,#REF!,MLS!A170)</f>
        <v>#REF!</v>
      </c>
      <c r="L170" s="78" t="e">
        <f>SUMIFS(#REF!,#REF!,MLS!A170)</f>
        <v>#REF!</v>
      </c>
      <c r="M170" s="78">
        <v>0</v>
      </c>
      <c r="N170" s="78">
        <f>ROUND(SUMIFS(TB_Convert!M:M,TB_Convert!A:A,A170),0)</f>
        <v>0</v>
      </c>
      <c r="O170" s="89" t="str">
        <f t="shared" si="56"/>
        <v>H</v>
      </c>
    </row>
    <row r="171" spans="1:15" x14ac:dyDescent="0.2">
      <c r="A171" s="90"/>
      <c r="B171" s="84"/>
      <c r="C171" s="84"/>
      <c r="D171" s="84" t="s">
        <v>389</v>
      </c>
      <c r="E171" s="84" t="s">
        <v>390</v>
      </c>
      <c r="F171" s="85">
        <v>0</v>
      </c>
      <c r="G171" s="85">
        <v>0</v>
      </c>
      <c r="H171" s="85">
        <v>0</v>
      </c>
      <c r="I171" s="85">
        <v>0</v>
      </c>
      <c r="J171" s="85">
        <v>0</v>
      </c>
      <c r="K171" s="85" t="e">
        <f t="shared" ref="K171:M171" si="75">SUM(K168:K170)</f>
        <v>#REF!</v>
      </c>
      <c r="L171" s="85" t="e">
        <f t="shared" si="75"/>
        <v>#REF!</v>
      </c>
      <c r="M171" s="85">
        <v>0</v>
      </c>
      <c r="N171" s="85">
        <f t="shared" ref="N171" si="76">SUM(N168:N170)</f>
        <v>0</v>
      </c>
      <c r="O171" s="89" t="str">
        <f t="shared" si="56"/>
        <v>H</v>
      </c>
    </row>
    <row r="172" spans="1:15" x14ac:dyDescent="0.2">
      <c r="A172" s="108"/>
      <c r="B172" s="109"/>
      <c r="C172" s="109"/>
      <c r="D172" s="109" t="s">
        <v>38</v>
      </c>
      <c r="E172" s="109" t="s">
        <v>155</v>
      </c>
      <c r="F172" s="110">
        <v>6195738128825</v>
      </c>
      <c r="G172" s="110">
        <v>0</v>
      </c>
      <c r="H172" s="110">
        <v>0</v>
      </c>
      <c r="I172" s="110">
        <v>6195738128825</v>
      </c>
      <c r="J172" s="110">
        <v>6199957200701</v>
      </c>
      <c r="K172" s="110" t="e">
        <f t="shared" ref="K172:M172" si="77">K162+K171</f>
        <v>#REF!</v>
      </c>
      <c r="L172" s="110" t="e">
        <f t="shared" si="77"/>
        <v>#REF!</v>
      </c>
      <c r="M172" s="110">
        <v>6199957200701</v>
      </c>
      <c r="N172" s="110">
        <f t="shared" ref="N172" si="78">N162+N171</f>
        <v>6203720688624</v>
      </c>
      <c r="O172" s="89" t="str">
        <f t="shared" si="56"/>
        <v>S</v>
      </c>
    </row>
    <row r="173" spans="1:15" x14ac:dyDescent="0.2">
      <c r="A173" s="97"/>
      <c r="B173" s="93"/>
      <c r="C173" s="93">
        <v>230</v>
      </c>
      <c r="D173" s="93" t="s">
        <v>43</v>
      </c>
      <c r="E173" s="93" t="s">
        <v>159</v>
      </c>
      <c r="F173" s="94">
        <v>4941140815306</v>
      </c>
      <c r="G173" s="94">
        <v>0</v>
      </c>
      <c r="H173" s="94">
        <v>0</v>
      </c>
      <c r="I173" s="94">
        <v>4941140815306</v>
      </c>
      <c r="J173" s="94">
        <v>4771437055653</v>
      </c>
      <c r="K173" s="94" t="e">
        <f t="shared" ref="K173:M173" si="79">K167+K171</f>
        <v>#REF!</v>
      </c>
      <c r="L173" s="94" t="e">
        <f t="shared" si="79"/>
        <v>#REF!</v>
      </c>
      <c r="M173" s="94">
        <v>4771437055653</v>
      </c>
      <c r="N173" s="94">
        <f t="shared" ref="N173" si="80">N167+N171</f>
        <v>4601174281316</v>
      </c>
      <c r="O173" s="89" t="str">
        <f t="shared" si="56"/>
        <v>S</v>
      </c>
    </row>
    <row r="174" spans="1:15" x14ac:dyDescent="0.2">
      <c r="A174" s="95">
        <v>241001</v>
      </c>
      <c r="B174" s="99">
        <v>1541</v>
      </c>
      <c r="C174" s="77">
        <v>241</v>
      </c>
      <c r="D174" s="87" t="s">
        <v>287</v>
      </c>
      <c r="E174" s="87" t="s">
        <v>288</v>
      </c>
      <c r="F174" s="78">
        <v>0</v>
      </c>
      <c r="G174" s="78">
        <v>0</v>
      </c>
      <c r="H174" s="78">
        <v>0</v>
      </c>
      <c r="I174" s="78">
        <v>0</v>
      </c>
      <c r="J174" s="78">
        <v>0</v>
      </c>
      <c r="K174" s="78" t="e">
        <f>SUMIFS(#REF!,#REF!,MLS!A174)</f>
        <v>#REF!</v>
      </c>
      <c r="L174" s="78" t="e">
        <f>SUMIFS(#REF!,#REF!,MLS!A174)</f>
        <v>#REF!</v>
      </c>
      <c r="M174" s="78">
        <v>0</v>
      </c>
      <c r="N174" s="78">
        <f>ROUND(SUMIFS(TB_Convert!M:M,TB_Convert!A:A,A174),0)</f>
        <v>0</v>
      </c>
      <c r="O174" s="89" t="str">
        <f t="shared" si="56"/>
        <v>H</v>
      </c>
    </row>
    <row r="175" spans="1:15" x14ac:dyDescent="0.2">
      <c r="A175" s="95">
        <v>241002</v>
      </c>
      <c r="B175" s="99">
        <v>1542</v>
      </c>
      <c r="C175" s="77">
        <v>241</v>
      </c>
      <c r="D175" s="87" t="s">
        <v>289</v>
      </c>
      <c r="E175" s="87" t="s">
        <v>290</v>
      </c>
      <c r="F175" s="78">
        <v>0</v>
      </c>
      <c r="G175" s="78">
        <v>0</v>
      </c>
      <c r="H175" s="78">
        <v>0</v>
      </c>
      <c r="I175" s="78">
        <v>0</v>
      </c>
      <c r="J175" s="78">
        <v>0</v>
      </c>
      <c r="K175" s="78" t="e">
        <f>SUMIFS(#REF!,#REF!,MLS!A175)</f>
        <v>#REF!</v>
      </c>
      <c r="L175" s="78" t="e">
        <f>SUMIFS(#REF!,#REF!,MLS!A175)</f>
        <v>#REF!</v>
      </c>
      <c r="M175" s="78">
        <v>0</v>
      </c>
      <c r="N175" s="78">
        <f>ROUND(SUMIFS(TB_Convert!M:M,TB_Convert!A:A,A175),0)</f>
        <v>0</v>
      </c>
      <c r="O175" s="89" t="str">
        <f t="shared" si="56"/>
        <v>H</v>
      </c>
    </row>
    <row r="176" spans="1:15" x14ac:dyDescent="0.2">
      <c r="A176" s="95">
        <v>241003</v>
      </c>
      <c r="B176" s="99">
        <v>1543</v>
      </c>
      <c r="C176" s="77">
        <v>241</v>
      </c>
      <c r="D176" s="87" t="s">
        <v>291</v>
      </c>
      <c r="E176" s="87" t="s">
        <v>292</v>
      </c>
      <c r="F176" s="78">
        <v>0</v>
      </c>
      <c r="G176" s="78">
        <v>0</v>
      </c>
      <c r="H176" s="78">
        <v>0</v>
      </c>
      <c r="I176" s="78">
        <v>0</v>
      </c>
      <c r="J176" s="78">
        <v>0</v>
      </c>
      <c r="K176" s="78" t="e">
        <f>SUMIFS(#REF!,#REF!,MLS!A176)</f>
        <v>#REF!</v>
      </c>
      <c r="L176" s="78" t="e">
        <f>SUMIFS(#REF!,#REF!,MLS!A176)</f>
        <v>#REF!</v>
      </c>
      <c r="M176" s="78">
        <v>0</v>
      </c>
      <c r="N176" s="78">
        <f>ROUND(SUMIFS(TB_Convert!M:M,TB_Convert!A:A,A176),0)</f>
        <v>0</v>
      </c>
      <c r="O176" s="89" t="str">
        <f t="shared" si="56"/>
        <v>H</v>
      </c>
    </row>
    <row r="177" spans="1:15" x14ac:dyDescent="0.2">
      <c r="A177" s="95">
        <v>241004</v>
      </c>
      <c r="B177" s="99">
        <v>1544</v>
      </c>
      <c r="C177" s="77">
        <v>241</v>
      </c>
      <c r="D177" s="87" t="s">
        <v>293</v>
      </c>
      <c r="E177" s="87" t="s">
        <v>294</v>
      </c>
      <c r="F177" s="78">
        <v>0</v>
      </c>
      <c r="G177" s="78">
        <v>0</v>
      </c>
      <c r="H177" s="78">
        <v>0</v>
      </c>
      <c r="I177" s="78">
        <v>0</v>
      </c>
      <c r="J177" s="78">
        <v>0</v>
      </c>
      <c r="K177" s="78" t="e">
        <f>SUMIFS(#REF!,#REF!,MLS!A177)</f>
        <v>#REF!</v>
      </c>
      <c r="L177" s="78" t="e">
        <f>SUMIFS(#REF!,#REF!,MLS!A177)</f>
        <v>#REF!</v>
      </c>
      <c r="M177" s="78">
        <v>0</v>
      </c>
      <c r="N177" s="78">
        <f>ROUND(SUMIFS(TB_Convert!M:M,TB_Convert!A:A,A177),0)</f>
        <v>0</v>
      </c>
      <c r="O177" s="89" t="str">
        <f t="shared" si="56"/>
        <v>H</v>
      </c>
    </row>
    <row r="178" spans="1:15" x14ac:dyDescent="0.2">
      <c r="A178" s="95">
        <v>241005</v>
      </c>
      <c r="B178" s="96">
        <v>2294</v>
      </c>
      <c r="C178" s="77">
        <v>241</v>
      </c>
      <c r="D178" s="77" t="s">
        <v>21</v>
      </c>
      <c r="E178" s="77" t="s">
        <v>137</v>
      </c>
      <c r="F178" s="78">
        <v>0</v>
      </c>
      <c r="G178" s="78">
        <v>0</v>
      </c>
      <c r="H178" s="78">
        <v>0</v>
      </c>
      <c r="I178" s="78">
        <v>0</v>
      </c>
      <c r="J178" s="78">
        <v>0</v>
      </c>
      <c r="K178" s="78" t="e">
        <f>SUMIFS(#REF!,#REF!,MLS!A178)</f>
        <v>#REF!</v>
      </c>
      <c r="L178" s="78" t="e">
        <f>SUMIFS(#REF!,#REF!,MLS!A178)</f>
        <v>#REF!</v>
      </c>
      <c r="M178" s="78">
        <v>0</v>
      </c>
      <c r="N178" s="78">
        <f>ROUND(SUMIFS(TB_Convert!M:M,TB_Convert!A:A,A178),0)</f>
        <v>0</v>
      </c>
      <c r="O178" s="89" t="str">
        <f t="shared" si="56"/>
        <v>H</v>
      </c>
    </row>
    <row r="179" spans="1:15" x14ac:dyDescent="0.2">
      <c r="A179" s="80"/>
      <c r="B179" s="80"/>
      <c r="C179" s="80"/>
      <c r="D179" s="80" t="s">
        <v>44</v>
      </c>
      <c r="E179" s="80" t="s">
        <v>161</v>
      </c>
      <c r="F179" s="81">
        <v>0</v>
      </c>
      <c r="G179" s="81">
        <v>0</v>
      </c>
      <c r="H179" s="81">
        <v>0</v>
      </c>
      <c r="I179" s="81">
        <v>0</v>
      </c>
      <c r="J179" s="81">
        <v>0</v>
      </c>
      <c r="K179" s="81" t="e">
        <f t="shared" ref="K179:M179" si="81">SUM(K174:K178)</f>
        <v>#REF!</v>
      </c>
      <c r="L179" s="81" t="e">
        <f t="shared" si="81"/>
        <v>#REF!</v>
      </c>
      <c r="M179" s="81">
        <v>0</v>
      </c>
      <c r="N179" s="81">
        <f t="shared" ref="N179" si="82">SUM(N174:N178)</f>
        <v>0</v>
      </c>
      <c r="O179" s="89" t="str">
        <f t="shared" si="56"/>
        <v>H</v>
      </c>
    </row>
    <row r="180" spans="1:15" x14ac:dyDescent="0.2">
      <c r="A180" s="68">
        <v>242001</v>
      </c>
      <c r="B180" s="77">
        <v>2411</v>
      </c>
      <c r="C180" s="77">
        <v>242</v>
      </c>
      <c r="D180" s="77" t="s">
        <v>391</v>
      </c>
      <c r="E180" s="77" t="s">
        <v>392</v>
      </c>
      <c r="F180" s="78">
        <v>0</v>
      </c>
      <c r="G180" s="78">
        <v>0</v>
      </c>
      <c r="H180" s="78">
        <v>0</v>
      </c>
      <c r="I180" s="78">
        <v>0</v>
      </c>
      <c r="J180" s="78">
        <v>0</v>
      </c>
      <c r="K180" s="78" t="e">
        <f>SUMIFS(#REF!,#REF!,MLS!A180)</f>
        <v>#REF!</v>
      </c>
      <c r="L180" s="78" t="e">
        <f>SUMIFS(#REF!,#REF!,MLS!A180)</f>
        <v>#REF!</v>
      </c>
      <c r="M180" s="78">
        <v>0</v>
      </c>
      <c r="N180" s="78">
        <f>ROUND(SUMIFS(TB_Convert!M:M,TB_Convert!A:A,A180),0)</f>
        <v>0</v>
      </c>
      <c r="O180" s="89" t="str">
        <f t="shared" si="56"/>
        <v>H</v>
      </c>
    </row>
    <row r="181" spans="1:15" x14ac:dyDescent="0.2">
      <c r="A181" s="68">
        <v>242002</v>
      </c>
      <c r="B181" s="77">
        <v>2412</v>
      </c>
      <c r="C181" s="77">
        <v>242</v>
      </c>
      <c r="D181" s="77" t="s">
        <v>393</v>
      </c>
      <c r="E181" s="77" t="s">
        <v>394</v>
      </c>
      <c r="F181" s="78">
        <v>0</v>
      </c>
      <c r="G181" s="78">
        <v>0</v>
      </c>
      <c r="H181" s="78">
        <v>0</v>
      </c>
      <c r="I181" s="78">
        <v>0</v>
      </c>
      <c r="J181" s="78">
        <v>0</v>
      </c>
      <c r="K181" s="78" t="e">
        <f>SUMIFS(#REF!,#REF!,MLS!A181)</f>
        <v>#REF!</v>
      </c>
      <c r="L181" s="78" t="e">
        <f>SUMIFS(#REF!,#REF!,MLS!A181)</f>
        <v>#REF!</v>
      </c>
      <c r="M181" s="78">
        <v>0</v>
      </c>
      <c r="N181" s="78">
        <f>ROUND(SUMIFS(TB_Convert!M:M,TB_Convert!A:A,A181),0)</f>
        <v>120000000000</v>
      </c>
      <c r="O181" s="89" t="str">
        <f t="shared" si="56"/>
        <v>H</v>
      </c>
    </row>
    <row r="182" spans="1:15" x14ac:dyDescent="0.2">
      <c r="A182" s="68">
        <v>242003</v>
      </c>
      <c r="B182" s="77">
        <v>2413</v>
      </c>
      <c r="C182" s="77">
        <v>242</v>
      </c>
      <c r="D182" s="77" t="s">
        <v>395</v>
      </c>
      <c r="E182" s="77" t="s">
        <v>396</v>
      </c>
      <c r="F182" s="78">
        <v>0</v>
      </c>
      <c r="G182" s="78">
        <v>0</v>
      </c>
      <c r="H182" s="78">
        <v>0</v>
      </c>
      <c r="I182" s="78">
        <v>0</v>
      </c>
      <c r="J182" s="78">
        <v>0</v>
      </c>
      <c r="K182" s="78" t="e">
        <f>SUMIFS(#REF!,#REF!,MLS!A182)</f>
        <v>#REF!</v>
      </c>
      <c r="L182" s="78" t="e">
        <f>SUMIFS(#REF!,#REF!,MLS!A182)</f>
        <v>#REF!</v>
      </c>
      <c r="M182" s="78">
        <v>0</v>
      </c>
      <c r="N182" s="78">
        <f>ROUND(SUMIFS(TB_Convert!M:M,TB_Convert!A:A,A182),0)</f>
        <v>0</v>
      </c>
      <c r="O182" s="89" t="str">
        <f t="shared" si="56"/>
        <v>H</v>
      </c>
    </row>
    <row r="183" spans="1:15" x14ac:dyDescent="0.2">
      <c r="A183" s="80"/>
      <c r="B183" s="80"/>
      <c r="C183" s="80"/>
      <c r="D183" s="80" t="s">
        <v>45</v>
      </c>
      <c r="E183" s="80" t="s">
        <v>162</v>
      </c>
      <c r="F183" s="81">
        <v>0</v>
      </c>
      <c r="G183" s="81">
        <v>0</v>
      </c>
      <c r="H183" s="81">
        <v>0</v>
      </c>
      <c r="I183" s="81">
        <v>0</v>
      </c>
      <c r="J183" s="81">
        <v>0</v>
      </c>
      <c r="K183" s="81" t="e">
        <f t="shared" ref="K183:M183" si="83">SUM(K180:K182)</f>
        <v>#REF!</v>
      </c>
      <c r="L183" s="81" t="e">
        <f t="shared" si="83"/>
        <v>#REF!</v>
      </c>
      <c r="M183" s="81">
        <v>0</v>
      </c>
      <c r="N183" s="81">
        <f t="shared" ref="N183" si="84">SUM(N180:N182)</f>
        <v>120000000000</v>
      </c>
      <c r="O183" s="89" t="str">
        <f t="shared" si="56"/>
        <v>H</v>
      </c>
    </row>
    <row r="184" spans="1:15" x14ac:dyDescent="0.2">
      <c r="A184" s="93"/>
      <c r="B184" s="93"/>
      <c r="C184" s="93">
        <v>240</v>
      </c>
      <c r="D184" s="93" t="s">
        <v>44</v>
      </c>
      <c r="E184" s="93" t="s">
        <v>160</v>
      </c>
      <c r="F184" s="94">
        <v>0</v>
      </c>
      <c r="G184" s="94">
        <v>0</v>
      </c>
      <c r="H184" s="94">
        <v>0</v>
      </c>
      <c r="I184" s="94">
        <v>0</v>
      </c>
      <c r="J184" s="94">
        <v>0</v>
      </c>
      <c r="K184" s="94" t="e">
        <f t="shared" ref="K184:M184" si="85">K179+K183</f>
        <v>#REF!</v>
      </c>
      <c r="L184" s="94" t="e">
        <f t="shared" si="85"/>
        <v>#REF!</v>
      </c>
      <c r="M184" s="94">
        <v>0</v>
      </c>
      <c r="N184" s="94">
        <f t="shared" ref="N184" si="86">N179+N183</f>
        <v>120000000000</v>
      </c>
      <c r="O184" s="89" t="str">
        <f t="shared" si="56"/>
        <v>H</v>
      </c>
    </row>
    <row r="185" spans="1:15" x14ac:dyDescent="0.2">
      <c r="A185" s="80">
        <v>251001</v>
      </c>
      <c r="B185" s="80">
        <v>221</v>
      </c>
      <c r="C185" s="80">
        <v>251</v>
      </c>
      <c r="D185" s="80" t="s">
        <v>47</v>
      </c>
      <c r="E185" s="80" t="s">
        <v>164</v>
      </c>
      <c r="F185" s="81">
        <v>0</v>
      </c>
      <c r="G185" s="81">
        <v>0</v>
      </c>
      <c r="H185" s="81">
        <v>0</v>
      </c>
      <c r="I185" s="81">
        <v>0</v>
      </c>
      <c r="J185" s="81">
        <v>0</v>
      </c>
      <c r="K185" s="338" t="e">
        <f>SUMIFS(#REF!,#REF!,MLS!A185)</f>
        <v>#REF!</v>
      </c>
      <c r="L185" s="338" t="e">
        <f>SUMIFS(#REF!,#REF!,MLS!A185)</f>
        <v>#REF!</v>
      </c>
      <c r="M185" s="81">
        <v>0</v>
      </c>
      <c r="N185" s="81">
        <f ca="1">SUMIF(TB_Convert!$A$4:$K$86,MLS!E185,TB_Convert!$K$4:$K$86)</f>
        <v>0</v>
      </c>
      <c r="O185" s="89" t="str">
        <f t="shared" si="56"/>
        <v>H</v>
      </c>
    </row>
    <row r="186" spans="1:15" x14ac:dyDescent="0.2">
      <c r="A186" s="80">
        <v>252001</v>
      </c>
      <c r="B186" s="80">
        <v>222</v>
      </c>
      <c r="C186" s="80">
        <v>252</v>
      </c>
      <c r="D186" s="80" t="s">
        <v>48</v>
      </c>
      <c r="E186" s="80" t="s">
        <v>165</v>
      </c>
      <c r="F186" s="81">
        <v>0</v>
      </c>
      <c r="G186" s="81">
        <v>0</v>
      </c>
      <c r="H186" s="81">
        <v>0</v>
      </c>
      <c r="I186" s="81">
        <v>0</v>
      </c>
      <c r="J186" s="81">
        <v>0</v>
      </c>
      <c r="K186" s="338" t="e">
        <f>SUMIFS(#REF!,#REF!,MLS!A186)</f>
        <v>#REF!</v>
      </c>
      <c r="L186" s="338" t="e">
        <f>SUMIFS(#REF!,#REF!,MLS!A186)</f>
        <v>#REF!</v>
      </c>
      <c r="M186" s="81">
        <v>0</v>
      </c>
      <c r="N186" s="81">
        <f ca="1">SUMIF(TB_Convert!$A$4:$K$86,MLS!E186,TB_Convert!$K$4:$K$86)</f>
        <v>0</v>
      </c>
      <c r="O186" s="89" t="str">
        <f t="shared" si="56"/>
        <v>H</v>
      </c>
    </row>
    <row r="187" spans="1:15" x14ac:dyDescent="0.2">
      <c r="A187" s="80">
        <v>253001</v>
      </c>
      <c r="B187" s="80">
        <v>2281</v>
      </c>
      <c r="C187" s="80">
        <v>253</v>
      </c>
      <c r="D187" s="80" t="s">
        <v>49</v>
      </c>
      <c r="E187" s="80" t="s">
        <v>166</v>
      </c>
      <c r="F187" s="81">
        <v>0</v>
      </c>
      <c r="G187" s="81">
        <v>0</v>
      </c>
      <c r="H187" s="81">
        <v>0</v>
      </c>
      <c r="I187" s="81">
        <v>0</v>
      </c>
      <c r="J187" s="81">
        <v>0</v>
      </c>
      <c r="K187" s="338" t="e">
        <f>SUMIFS(#REF!,#REF!,MLS!A187)</f>
        <v>#REF!</v>
      </c>
      <c r="L187" s="338" t="e">
        <f>SUMIFS(#REF!,#REF!,MLS!A187)</f>
        <v>#REF!</v>
      </c>
      <c r="M187" s="81">
        <v>0</v>
      </c>
      <c r="N187" s="81">
        <f ca="1">SUMIF(TB_Convert!$A$4:$K$86,MLS!E187,TB_Convert!$K$4:$K$86)</f>
        <v>0</v>
      </c>
      <c r="O187" s="89" t="str">
        <f t="shared" si="56"/>
        <v>H</v>
      </c>
    </row>
    <row r="188" spans="1:15" x14ac:dyDescent="0.2">
      <c r="A188" s="80">
        <v>254001</v>
      </c>
      <c r="B188" s="80">
        <v>2292</v>
      </c>
      <c r="C188" s="80">
        <v>254</v>
      </c>
      <c r="D188" s="80" t="s">
        <v>50</v>
      </c>
      <c r="E188" s="80" t="s">
        <v>167</v>
      </c>
      <c r="F188" s="81">
        <v>0</v>
      </c>
      <c r="G188" s="81">
        <v>0</v>
      </c>
      <c r="H188" s="81">
        <v>0</v>
      </c>
      <c r="I188" s="81">
        <v>0</v>
      </c>
      <c r="J188" s="81">
        <v>0</v>
      </c>
      <c r="K188" s="338" t="e">
        <f>SUMIFS(#REF!,#REF!,MLS!A188)</f>
        <v>#REF!</v>
      </c>
      <c r="L188" s="338" t="e">
        <f>SUMIFS(#REF!,#REF!,MLS!A188)</f>
        <v>#REF!</v>
      </c>
      <c r="M188" s="81">
        <v>0</v>
      </c>
      <c r="N188" s="81">
        <f ca="1">SUMIF(TB_Convert!$A$4:$K$86,MLS!E188,TB_Convert!$K$4:$K$86)</f>
        <v>0</v>
      </c>
      <c r="O188" s="89" t="str">
        <f t="shared" si="56"/>
        <v>H</v>
      </c>
    </row>
    <row r="189" spans="1:15" x14ac:dyDescent="0.2">
      <c r="A189" s="68">
        <v>255001</v>
      </c>
      <c r="B189" s="77">
        <v>1281</v>
      </c>
      <c r="C189" s="77">
        <v>255</v>
      </c>
      <c r="D189" s="77" t="s">
        <v>247</v>
      </c>
      <c r="E189" s="77" t="s">
        <v>248</v>
      </c>
      <c r="F189" s="78">
        <v>0</v>
      </c>
      <c r="G189" s="78">
        <v>0</v>
      </c>
      <c r="H189" s="78">
        <v>0</v>
      </c>
      <c r="I189" s="78">
        <v>0</v>
      </c>
      <c r="J189" s="78">
        <v>0</v>
      </c>
      <c r="K189" s="78" t="e">
        <f>SUMIFS(#REF!,#REF!,MLS!A189)</f>
        <v>#REF!</v>
      </c>
      <c r="L189" s="78" t="e">
        <f>SUMIFS(#REF!,#REF!,MLS!A189)</f>
        <v>#REF!</v>
      </c>
      <c r="M189" s="78">
        <v>0</v>
      </c>
      <c r="N189" s="78">
        <f>ROUND(SUMIFS(TB_Convert!M:M,TB_Convert!A:A,A189),0)</f>
        <v>0</v>
      </c>
      <c r="O189" s="89" t="str">
        <f t="shared" si="56"/>
        <v>H</v>
      </c>
    </row>
    <row r="190" spans="1:15" x14ac:dyDescent="0.2">
      <c r="A190" s="68">
        <v>255002</v>
      </c>
      <c r="B190" s="77">
        <v>1282</v>
      </c>
      <c r="C190" s="77">
        <v>255</v>
      </c>
      <c r="D190" s="77" t="s">
        <v>253</v>
      </c>
      <c r="E190" s="77" t="s">
        <v>254</v>
      </c>
      <c r="F190" s="78">
        <v>0</v>
      </c>
      <c r="G190" s="78">
        <v>0</v>
      </c>
      <c r="H190" s="78">
        <v>0</v>
      </c>
      <c r="I190" s="78">
        <v>0</v>
      </c>
      <c r="J190" s="78">
        <v>0</v>
      </c>
      <c r="K190" s="78" t="e">
        <f>SUMIFS(#REF!,#REF!,MLS!A190)</f>
        <v>#REF!</v>
      </c>
      <c r="L190" s="78" t="e">
        <f>SUMIFS(#REF!,#REF!,MLS!A190)</f>
        <v>#REF!</v>
      </c>
      <c r="M190" s="78">
        <v>0</v>
      </c>
      <c r="N190" s="78">
        <f>ROUND(SUMIFS(TB_Convert!M:M,TB_Convert!A:A,A190),0)</f>
        <v>0</v>
      </c>
      <c r="O190" s="89" t="str">
        <f t="shared" si="56"/>
        <v>H</v>
      </c>
    </row>
    <row r="191" spans="1:15" x14ac:dyDescent="0.2">
      <c r="A191" s="68">
        <v>255003</v>
      </c>
      <c r="B191" s="77">
        <v>1288</v>
      </c>
      <c r="C191" s="77">
        <v>255</v>
      </c>
      <c r="D191" s="77" t="s">
        <v>249</v>
      </c>
      <c r="E191" s="77" t="s">
        <v>250</v>
      </c>
      <c r="F191" s="78">
        <v>0</v>
      </c>
      <c r="G191" s="78">
        <v>0</v>
      </c>
      <c r="H191" s="78">
        <v>0</v>
      </c>
      <c r="I191" s="78">
        <v>0</v>
      </c>
      <c r="J191" s="78">
        <v>0</v>
      </c>
      <c r="K191" s="78" t="e">
        <f>SUMIFS(#REF!,#REF!,MLS!A191)</f>
        <v>#REF!</v>
      </c>
      <c r="L191" s="78" t="e">
        <f>SUMIFS(#REF!,#REF!,MLS!A191)</f>
        <v>#REF!</v>
      </c>
      <c r="M191" s="78">
        <v>0</v>
      </c>
      <c r="N191" s="78">
        <f>ROUND(SUMIFS(TB_Convert!M:M,TB_Convert!A:A,A191),0)</f>
        <v>0</v>
      </c>
      <c r="O191" s="89" t="str">
        <f t="shared" si="56"/>
        <v>H</v>
      </c>
    </row>
    <row r="192" spans="1:15" x14ac:dyDescent="0.2">
      <c r="A192" s="80"/>
      <c r="B192" s="80"/>
      <c r="C192" s="80"/>
      <c r="D192" s="80" t="s">
        <v>10</v>
      </c>
      <c r="E192" s="80" t="s">
        <v>126</v>
      </c>
      <c r="F192" s="81">
        <v>0</v>
      </c>
      <c r="G192" s="81">
        <v>0</v>
      </c>
      <c r="H192" s="81">
        <v>0</v>
      </c>
      <c r="I192" s="81">
        <v>0</v>
      </c>
      <c r="J192" s="81">
        <v>0</v>
      </c>
      <c r="K192" s="81" t="e">
        <f t="shared" ref="K192:M192" si="87">SUM(K189:K191)</f>
        <v>#REF!</v>
      </c>
      <c r="L192" s="81" t="e">
        <f t="shared" si="87"/>
        <v>#REF!</v>
      </c>
      <c r="M192" s="81">
        <v>0</v>
      </c>
      <c r="N192" s="81">
        <f t="shared" ref="N192" si="88">SUM(N189:N191)</f>
        <v>0</v>
      </c>
      <c r="O192" s="89" t="str">
        <f t="shared" si="56"/>
        <v>H</v>
      </c>
    </row>
    <row r="193" spans="1:15" x14ac:dyDescent="0.2">
      <c r="A193" s="93"/>
      <c r="B193" s="93"/>
      <c r="C193" s="93">
        <v>250</v>
      </c>
      <c r="D193" s="93" t="s">
        <v>46</v>
      </c>
      <c r="E193" s="93" t="s">
        <v>163</v>
      </c>
      <c r="F193" s="94">
        <v>0</v>
      </c>
      <c r="G193" s="94">
        <v>0</v>
      </c>
      <c r="H193" s="94">
        <v>0</v>
      </c>
      <c r="I193" s="94">
        <v>0</v>
      </c>
      <c r="J193" s="94">
        <v>0</v>
      </c>
      <c r="K193" s="94" t="e">
        <f t="shared" ref="K193:M193" si="89">SUM(K185:K188,K192)</f>
        <v>#REF!</v>
      </c>
      <c r="L193" s="94" t="e">
        <f t="shared" si="89"/>
        <v>#REF!</v>
      </c>
      <c r="M193" s="94">
        <v>0</v>
      </c>
      <c r="N193" s="94">
        <f t="shared" ref="N193" ca="1" si="90">SUM(N185:N188,N192)</f>
        <v>0</v>
      </c>
      <c r="O193" s="89" t="str">
        <f t="shared" si="56"/>
        <v>H</v>
      </c>
    </row>
    <row r="194" spans="1:15" x14ac:dyDescent="0.2">
      <c r="A194" s="68">
        <v>261001</v>
      </c>
      <c r="B194" s="77">
        <v>242</v>
      </c>
      <c r="C194" s="77">
        <v>261</v>
      </c>
      <c r="D194" s="77" t="s">
        <v>52</v>
      </c>
      <c r="E194" s="77" t="s">
        <v>169</v>
      </c>
      <c r="F194" s="78">
        <v>0</v>
      </c>
      <c r="G194" s="78">
        <v>0</v>
      </c>
      <c r="H194" s="78">
        <v>0</v>
      </c>
      <c r="I194" s="78">
        <v>0</v>
      </c>
      <c r="J194" s="78">
        <v>0</v>
      </c>
      <c r="K194" s="78" t="e">
        <f>SUMIFS(#REF!,#REF!,MLS!A194)</f>
        <v>#REF!</v>
      </c>
      <c r="L194" s="78" t="e">
        <f>SUMIFS(#REF!,#REF!,MLS!A194)</f>
        <v>#REF!</v>
      </c>
      <c r="M194" s="78">
        <v>0</v>
      </c>
      <c r="N194" s="78">
        <f>ROUND(SUMIFS(TB_Convert!M:M,TB_Convert!A:A,A194),0)</f>
        <v>0</v>
      </c>
      <c r="O194" s="89" t="str">
        <f t="shared" si="56"/>
        <v>H</v>
      </c>
    </row>
    <row r="195" spans="1:15" x14ac:dyDescent="0.2">
      <c r="A195" s="68">
        <v>262001</v>
      </c>
      <c r="B195" s="77">
        <v>243</v>
      </c>
      <c r="C195" s="77">
        <v>262</v>
      </c>
      <c r="D195" s="77" t="s">
        <v>53</v>
      </c>
      <c r="E195" s="77" t="s">
        <v>170</v>
      </c>
      <c r="F195" s="78">
        <v>0</v>
      </c>
      <c r="G195" s="78">
        <v>0</v>
      </c>
      <c r="H195" s="78">
        <v>0</v>
      </c>
      <c r="I195" s="78">
        <v>0</v>
      </c>
      <c r="J195" s="78">
        <v>0</v>
      </c>
      <c r="K195" s="78" t="e">
        <f>SUMIFS(#REF!,#REF!,MLS!A195)</f>
        <v>#REF!</v>
      </c>
      <c r="L195" s="78" t="e">
        <f>SUMIFS(#REF!,#REF!,MLS!A195)</f>
        <v>#REF!</v>
      </c>
      <c r="M195" s="78">
        <v>0</v>
      </c>
      <c r="N195" s="78">
        <f>ROUND(SUMIFS(TB_Convert!M:M,TB_Convert!A:A,A195),0)</f>
        <v>0</v>
      </c>
      <c r="O195" s="89" t="str">
        <f t="shared" si="56"/>
        <v>H</v>
      </c>
    </row>
    <row r="196" spans="1:15" x14ac:dyDescent="0.2">
      <c r="A196" s="68">
        <v>263001</v>
      </c>
      <c r="B196" s="77">
        <v>1534</v>
      </c>
      <c r="C196" s="77">
        <v>263</v>
      </c>
      <c r="D196" s="77" t="s">
        <v>54</v>
      </c>
      <c r="E196" s="77" t="s">
        <v>171</v>
      </c>
      <c r="F196" s="78">
        <v>0</v>
      </c>
      <c r="G196" s="78">
        <v>0</v>
      </c>
      <c r="H196" s="78">
        <v>0</v>
      </c>
      <c r="I196" s="78">
        <v>0</v>
      </c>
      <c r="J196" s="78">
        <v>0</v>
      </c>
      <c r="K196" s="78" t="e">
        <f>SUMIFS(#REF!,#REF!,MLS!A196)</f>
        <v>#REF!</v>
      </c>
      <c r="L196" s="78" t="e">
        <f>SUMIFS(#REF!,#REF!,MLS!A196)</f>
        <v>#REF!</v>
      </c>
      <c r="M196" s="78">
        <v>0</v>
      </c>
      <c r="N196" s="78">
        <f>ROUND(SUMIFS(TB_Convert!M:M,TB_Convert!A:A,A196),0)</f>
        <v>0</v>
      </c>
      <c r="O196" s="89" t="str">
        <f t="shared" si="56"/>
        <v>H</v>
      </c>
    </row>
    <row r="197" spans="1:15" x14ac:dyDescent="0.2">
      <c r="A197" s="68">
        <v>268001</v>
      </c>
      <c r="B197" s="77">
        <v>2288</v>
      </c>
      <c r="C197" s="77">
        <v>268</v>
      </c>
      <c r="D197" s="77" t="s">
        <v>51</v>
      </c>
      <c r="E197" s="77" t="s">
        <v>168</v>
      </c>
      <c r="F197" s="78">
        <v>0</v>
      </c>
      <c r="G197" s="78">
        <v>0</v>
      </c>
      <c r="H197" s="78">
        <v>0</v>
      </c>
      <c r="I197" s="78">
        <v>0</v>
      </c>
      <c r="J197" s="78">
        <v>0</v>
      </c>
      <c r="K197" s="78" t="e">
        <f>SUMIFS(#REF!,#REF!,MLS!A197)</f>
        <v>#REF!</v>
      </c>
      <c r="L197" s="78" t="e">
        <f>SUMIFS(#REF!,#REF!,MLS!A197)</f>
        <v>#REF!</v>
      </c>
      <c r="M197" s="78">
        <v>0</v>
      </c>
      <c r="N197" s="78">
        <f>ROUND(SUMIFS(TB_Convert!M:M,TB_Convert!A:A,A197),0)</f>
        <v>0</v>
      </c>
      <c r="O197" s="89" t="str">
        <f t="shared" si="56"/>
        <v>H</v>
      </c>
    </row>
    <row r="198" spans="1:15" x14ac:dyDescent="0.2">
      <c r="A198" s="68">
        <v>269001</v>
      </c>
      <c r="B198" s="77">
        <v>242</v>
      </c>
      <c r="C198" s="77">
        <v>269</v>
      </c>
      <c r="D198" s="77" t="s">
        <v>55</v>
      </c>
      <c r="E198" s="77" t="s">
        <v>172</v>
      </c>
      <c r="F198" s="78">
        <v>0</v>
      </c>
      <c r="G198" s="78">
        <v>0</v>
      </c>
      <c r="H198" s="78">
        <v>0</v>
      </c>
      <c r="I198" s="78">
        <v>0</v>
      </c>
      <c r="J198" s="78">
        <v>0</v>
      </c>
      <c r="K198" s="78" t="e">
        <f>SUMIFS(#REF!,#REF!,MLS!A198)</f>
        <v>#REF!</v>
      </c>
      <c r="L198" s="78" t="e">
        <f>SUMIFS(#REF!,#REF!,MLS!A198)</f>
        <v>#REF!</v>
      </c>
      <c r="M198" s="78">
        <v>0</v>
      </c>
      <c r="N198" s="78">
        <f>ROUND(SUMIFS(TB_Convert!M:M,TB_Convert!A:A,A198),0)</f>
        <v>0</v>
      </c>
      <c r="O198" s="89" t="str">
        <f t="shared" si="56"/>
        <v>H</v>
      </c>
    </row>
    <row r="199" spans="1:15" x14ac:dyDescent="0.2">
      <c r="A199" s="80"/>
      <c r="B199" s="80"/>
      <c r="C199" s="80">
        <v>260</v>
      </c>
      <c r="D199" s="80" t="s">
        <v>51</v>
      </c>
      <c r="E199" s="80" t="s">
        <v>168</v>
      </c>
      <c r="F199" s="81">
        <v>0</v>
      </c>
      <c r="G199" s="81">
        <v>0</v>
      </c>
      <c r="H199" s="81">
        <v>0</v>
      </c>
      <c r="I199" s="81">
        <v>0</v>
      </c>
      <c r="J199" s="81">
        <v>0</v>
      </c>
      <c r="K199" s="81" t="e">
        <f t="shared" ref="K199:M199" si="91">SUM(K194:K198)</f>
        <v>#REF!</v>
      </c>
      <c r="L199" s="81" t="e">
        <f t="shared" si="91"/>
        <v>#REF!</v>
      </c>
      <c r="M199" s="81">
        <v>0</v>
      </c>
      <c r="N199" s="81">
        <f t="shared" ref="N199" si="92">SUM(N194:N198)</f>
        <v>0</v>
      </c>
      <c r="O199" s="89" t="str">
        <f t="shared" si="56"/>
        <v>H</v>
      </c>
    </row>
    <row r="200" spans="1:15" x14ac:dyDescent="0.2">
      <c r="A200" s="91"/>
      <c r="B200" s="92"/>
      <c r="C200" s="92">
        <v>200</v>
      </c>
      <c r="D200" s="93" t="s">
        <v>27</v>
      </c>
      <c r="E200" s="93" t="s">
        <v>143</v>
      </c>
      <c r="F200" s="94">
        <v>4941140815306</v>
      </c>
      <c r="G200" s="94">
        <v>0</v>
      </c>
      <c r="H200" s="94">
        <v>0</v>
      </c>
      <c r="I200" s="94">
        <v>4941140815306</v>
      </c>
      <c r="J200" s="94">
        <v>4771437055653</v>
      </c>
      <c r="K200" s="94" t="e">
        <f t="shared" ref="K200:M200" si="93">SUM(K96:K98,K102:K103,K110:K111,K158,K173,K193,K184,K199)</f>
        <v>#REF!</v>
      </c>
      <c r="L200" s="94" t="e">
        <f t="shared" si="93"/>
        <v>#REF!</v>
      </c>
      <c r="M200" s="94">
        <v>4771437055653</v>
      </c>
      <c r="N200" s="94">
        <f t="shared" ref="N200" ca="1" si="94">SUM(N96:N98,N102:N103,N110:N111,N158,N173,N193,N184,N199)</f>
        <v>6562474281316</v>
      </c>
      <c r="O200" s="89" t="str">
        <f t="shared" si="56"/>
        <v>S</v>
      </c>
    </row>
    <row r="201" spans="1:15" x14ac:dyDescent="0.2">
      <c r="A201" s="111"/>
      <c r="B201" s="111"/>
      <c r="C201" s="111">
        <v>270</v>
      </c>
      <c r="D201" s="111" t="s">
        <v>397</v>
      </c>
      <c r="E201" s="111" t="s">
        <v>173</v>
      </c>
      <c r="F201" s="112">
        <v>4905395285927</v>
      </c>
      <c r="G201" s="112">
        <v>37643477124</v>
      </c>
      <c r="H201" s="112">
        <v>-11181683</v>
      </c>
      <c r="I201" s="112">
        <v>4943027581368</v>
      </c>
      <c r="J201" s="112">
        <v>4781188285204</v>
      </c>
      <c r="K201" s="112" t="e">
        <f t="shared" ref="K201:M201" si="95">K200+K93</f>
        <v>#REF!</v>
      </c>
      <c r="L201" s="112" t="e">
        <f t="shared" si="95"/>
        <v>#REF!</v>
      </c>
      <c r="M201" s="112">
        <v>4781188285204</v>
      </c>
      <c r="N201" s="112">
        <f t="shared" ref="N201" ca="1" si="96">N200+N93</f>
        <v>6623041759566</v>
      </c>
      <c r="O201" s="89" t="str">
        <f t="shared" ref="O201:O264" si="97">IF(SUM(F201:J201)=0,"H","S")</f>
        <v>S</v>
      </c>
    </row>
    <row r="202" spans="1:15" x14ac:dyDescent="0.2">
      <c r="N202" s="69">
        <f>ROUND(SUMIFS(TB_Convert!M:M,TB_Convert!A:A,A202),0)</f>
        <v>0</v>
      </c>
      <c r="O202" s="89" t="str">
        <f t="shared" si="97"/>
        <v>H</v>
      </c>
    </row>
    <row r="203" spans="1:15" x14ac:dyDescent="0.2">
      <c r="A203" s="70"/>
      <c r="B203" s="70"/>
      <c r="C203" s="70"/>
      <c r="D203" s="70" t="s">
        <v>57</v>
      </c>
      <c r="E203" s="70" t="s">
        <v>175</v>
      </c>
      <c r="F203" s="113"/>
      <c r="G203" s="113"/>
      <c r="H203" s="113"/>
      <c r="I203" s="113"/>
      <c r="J203" s="113"/>
      <c r="K203" s="113"/>
      <c r="L203" s="113"/>
      <c r="M203" s="113"/>
      <c r="N203" s="113">
        <f>ROUND(SUMIFS(TB_Convert!M:M,TB_Convert!A:A,A203),0)</f>
        <v>0</v>
      </c>
      <c r="O203" s="89" t="str">
        <f t="shared" si="97"/>
        <v>H</v>
      </c>
    </row>
    <row r="204" spans="1:15" x14ac:dyDescent="0.2">
      <c r="A204" s="80">
        <v>311001</v>
      </c>
      <c r="B204" s="80">
        <v>331</v>
      </c>
      <c r="C204" s="80">
        <v>311</v>
      </c>
      <c r="D204" s="80" t="s">
        <v>60</v>
      </c>
      <c r="E204" s="80" t="s">
        <v>178</v>
      </c>
      <c r="F204" s="81">
        <v>-42900000</v>
      </c>
      <c r="G204" s="81">
        <v>0</v>
      </c>
      <c r="H204" s="81">
        <v>0</v>
      </c>
      <c r="I204" s="81">
        <v>-42900000</v>
      </c>
      <c r="J204" s="81">
        <v>0</v>
      </c>
      <c r="K204" s="338" t="e">
        <f>SUMIFS(#REF!,#REF!,MLS!A204)</f>
        <v>#REF!</v>
      </c>
      <c r="L204" s="338" t="e">
        <f>SUMIFS(#REF!,#REF!,MLS!A204)</f>
        <v>#REF!</v>
      </c>
      <c r="M204" s="81">
        <v>0</v>
      </c>
      <c r="N204" s="81">
        <f>ROUND(SUMIFS(TB_Convert!M:M,TB_Convert!A:A,A204),0)</f>
        <v>-62000000000</v>
      </c>
      <c r="O204" s="89" t="str">
        <f t="shared" si="97"/>
        <v>S</v>
      </c>
    </row>
    <row r="205" spans="1:15" x14ac:dyDescent="0.2">
      <c r="A205" s="80">
        <v>312001</v>
      </c>
      <c r="B205" s="80">
        <v>131</v>
      </c>
      <c r="C205" s="80">
        <v>312</v>
      </c>
      <c r="D205" s="80" t="s">
        <v>61</v>
      </c>
      <c r="E205" s="80" t="s">
        <v>179</v>
      </c>
      <c r="F205" s="81">
        <v>0</v>
      </c>
      <c r="G205" s="81">
        <v>0</v>
      </c>
      <c r="H205" s="81">
        <v>0</v>
      </c>
      <c r="I205" s="81">
        <v>0</v>
      </c>
      <c r="J205" s="81">
        <v>0</v>
      </c>
      <c r="K205" s="338" t="e">
        <f>SUMIFS(#REF!,#REF!,MLS!A205)</f>
        <v>#REF!</v>
      </c>
      <c r="L205" s="338" t="e">
        <f>SUMIFS(#REF!,#REF!,MLS!A205)</f>
        <v>#REF!</v>
      </c>
      <c r="M205" s="81">
        <v>0</v>
      </c>
      <c r="N205" s="81">
        <f>ROUND(SUMIFS(TB_Convert!M:M,TB_Convert!A:A,A205),0)</f>
        <v>-99999999</v>
      </c>
      <c r="O205" s="89" t="str">
        <f t="shared" si="97"/>
        <v>H</v>
      </c>
    </row>
    <row r="206" spans="1:15" x14ac:dyDescent="0.2">
      <c r="A206" s="68">
        <v>313001</v>
      </c>
      <c r="B206" s="77">
        <v>33311</v>
      </c>
      <c r="C206" s="77">
        <v>313</v>
      </c>
      <c r="D206" s="77" t="s">
        <v>719</v>
      </c>
      <c r="E206" s="77" t="s">
        <v>315</v>
      </c>
      <c r="F206" s="78">
        <v>0</v>
      </c>
      <c r="G206" s="78">
        <v>0</v>
      </c>
      <c r="H206" s="78">
        <v>0</v>
      </c>
      <c r="I206" s="78">
        <v>0</v>
      </c>
      <c r="J206" s="78">
        <v>-9290859479</v>
      </c>
      <c r="K206" s="78" t="e">
        <f>SUMIFS(#REF!,#REF!,MLS!A206)</f>
        <v>#REF!</v>
      </c>
      <c r="L206" s="78" t="e">
        <f>SUMIFS(#REF!,#REF!,MLS!A206)</f>
        <v>#REF!</v>
      </c>
      <c r="M206" s="78">
        <v>-9290859479</v>
      </c>
      <c r="N206" s="78">
        <f>ROUND(SUMIFS(TB_Convert!M:M,TB_Convert!A:A,A206),0)</f>
        <v>0</v>
      </c>
      <c r="O206" s="89" t="str">
        <f t="shared" si="97"/>
        <v>S</v>
      </c>
    </row>
    <row r="207" spans="1:15" x14ac:dyDescent="0.2">
      <c r="A207" s="68">
        <v>313002</v>
      </c>
      <c r="B207" s="77">
        <v>33312</v>
      </c>
      <c r="C207" s="77">
        <v>313</v>
      </c>
      <c r="D207" s="77" t="s">
        <v>720</v>
      </c>
      <c r="E207" s="77" t="s">
        <v>316</v>
      </c>
      <c r="F207" s="78">
        <v>0</v>
      </c>
      <c r="G207" s="78">
        <v>0</v>
      </c>
      <c r="H207" s="78">
        <v>0</v>
      </c>
      <c r="I207" s="78">
        <v>0</v>
      </c>
      <c r="J207" s="78">
        <v>0</v>
      </c>
      <c r="K207" s="78" t="e">
        <f>SUMIFS(#REF!,#REF!,MLS!A207)</f>
        <v>#REF!</v>
      </c>
      <c r="L207" s="78" t="e">
        <f>SUMIFS(#REF!,#REF!,MLS!A207)</f>
        <v>#REF!</v>
      </c>
      <c r="M207" s="78">
        <v>0</v>
      </c>
      <c r="N207" s="78">
        <f>ROUND(SUMIFS(TB_Convert!M:M,TB_Convert!A:A,A207),0)</f>
        <v>0</v>
      </c>
      <c r="O207" s="89" t="str">
        <f t="shared" si="97"/>
        <v>H</v>
      </c>
    </row>
    <row r="208" spans="1:15" x14ac:dyDescent="0.2">
      <c r="A208" s="68">
        <v>313003</v>
      </c>
      <c r="B208" s="77">
        <v>3332</v>
      </c>
      <c r="C208" s="77">
        <v>313</v>
      </c>
      <c r="D208" s="77" t="s">
        <v>712</v>
      </c>
      <c r="E208" s="77" t="s">
        <v>317</v>
      </c>
      <c r="F208" s="78">
        <v>0</v>
      </c>
      <c r="G208" s="78">
        <v>0</v>
      </c>
      <c r="H208" s="78">
        <v>0</v>
      </c>
      <c r="I208" s="78">
        <v>0</v>
      </c>
      <c r="J208" s="78">
        <v>0</v>
      </c>
      <c r="K208" s="78" t="e">
        <f>SUMIFS(#REF!,#REF!,MLS!A208)</f>
        <v>#REF!</v>
      </c>
      <c r="L208" s="78" t="e">
        <f>SUMIFS(#REF!,#REF!,MLS!A208)</f>
        <v>#REF!</v>
      </c>
      <c r="M208" s="78">
        <v>0</v>
      </c>
      <c r="N208" s="78">
        <f>ROUND(SUMIFS(TB_Convert!M:M,TB_Convert!A:A,A208),0)</f>
        <v>0</v>
      </c>
      <c r="O208" s="89" t="str">
        <f t="shared" si="97"/>
        <v>H</v>
      </c>
    </row>
    <row r="209" spans="1:15" x14ac:dyDescent="0.2">
      <c r="A209" s="68">
        <v>313004</v>
      </c>
      <c r="B209" s="77">
        <v>3333</v>
      </c>
      <c r="C209" s="77">
        <v>313</v>
      </c>
      <c r="D209" s="77" t="s">
        <v>713</v>
      </c>
      <c r="E209" s="77" t="s">
        <v>318</v>
      </c>
      <c r="F209" s="78">
        <v>0</v>
      </c>
      <c r="G209" s="78">
        <v>0</v>
      </c>
      <c r="H209" s="78">
        <v>0</v>
      </c>
      <c r="I209" s="78">
        <v>0</v>
      </c>
      <c r="J209" s="78">
        <v>0</v>
      </c>
      <c r="K209" s="78" t="e">
        <f>SUMIFS(#REF!,#REF!,MLS!A209)</f>
        <v>#REF!</v>
      </c>
      <c r="L209" s="78" t="e">
        <f>SUMIFS(#REF!,#REF!,MLS!A209)</f>
        <v>#REF!</v>
      </c>
      <c r="M209" s="78">
        <v>0</v>
      </c>
      <c r="N209" s="78">
        <f>ROUND(SUMIFS(TB_Convert!M:M,TB_Convert!A:A,A209),0)</f>
        <v>0</v>
      </c>
      <c r="O209" s="89" t="str">
        <f t="shared" si="97"/>
        <v>H</v>
      </c>
    </row>
    <row r="210" spans="1:15" x14ac:dyDescent="0.2">
      <c r="A210" s="68">
        <v>313005</v>
      </c>
      <c r="B210" s="77">
        <v>3334</v>
      </c>
      <c r="C210" s="77">
        <v>313</v>
      </c>
      <c r="D210" s="77" t="s">
        <v>714</v>
      </c>
      <c r="E210" s="77" t="s">
        <v>319</v>
      </c>
      <c r="F210" s="78">
        <v>0</v>
      </c>
      <c r="G210" s="78">
        <v>0</v>
      </c>
      <c r="H210" s="78">
        <v>0</v>
      </c>
      <c r="I210" s="78">
        <v>0</v>
      </c>
      <c r="J210" s="78">
        <v>0</v>
      </c>
      <c r="K210" s="78" t="e">
        <f>SUMIFS(#REF!,#REF!,MLS!A210)</f>
        <v>#REF!</v>
      </c>
      <c r="L210" s="78" t="e">
        <f>SUMIFS(#REF!,#REF!,MLS!A210)</f>
        <v>#REF!</v>
      </c>
      <c r="M210" s="78">
        <v>0</v>
      </c>
      <c r="N210" s="78">
        <f>ROUND(SUMIFS(TB_Convert!M:M,TB_Convert!A:A,A210),0)</f>
        <v>-1514531883</v>
      </c>
      <c r="O210" s="89" t="str">
        <f t="shared" si="97"/>
        <v>H</v>
      </c>
    </row>
    <row r="211" spans="1:15" x14ac:dyDescent="0.2">
      <c r="A211" s="68">
        <v>313006</v>
      </c>
      <c r="B211" s="77">
        <v>3335</v>
      </c>
      <c r="C211" s="77">
        <v>313</v>
      </c>
      <c r="D211" s="77" t="s">
        <v>715</v>
      </c>
      <c r="E211" s="77" t="s">
        <v>320</v>
      </c>
      <c r="F211" s="78">
        <v>0</v>
      </c>
      <c r="G211" s="78">
        <v>0</v>
      </c>
      <c r="H211" s="78">
        <v>0</v>
      </c>
      <c r="I211" s="78">
        <v>0</v>
      </c>
      <c r="J211" s="78">
        <v>0</v>
      </c>
      <c r="K211" s="78" t="e">
        <f>SUMIFS(#REF!,#REF!,MLS!A211)</f>
        <v>#REF!</v>
      </c>
      <c r="L211" s="78" t="e">
        <f>SUMIFS(#REF!,#REF!,MLS!A211)</f>
        <v>#REF!</v>
      </c>
      <c r="M211" s="78">
        <v>0</v>
      </c>
      <c r="N211" s="78">
        <f>ROUND(SUMIFS(TB_Convert!M:M,TB_Convert!A:A,A211),0)</f>
        <v>0</v>
      </c>
      <c r="O211" s="89" t="str">
        <f t="shared" si="97"/>
        <v>H</v>
      </c>
    </row>
    <row r="212" spans="1:15" x14ac:dyDescent="0.2">
      <c r="A212" s="68">
        <v>313007</v>
      </c>
      <c r="B212" s="77">
        <v>3336</v>
      </c>
      <c r="C212" s="77">
        <v>313</v>
      </c>
      <c r="D212" s="77" t="s">
        <v>716</v>
      </c>
      <c r="E212" s="77" t="s">
        <v>321</v>
      </c>
      <c r="F212" s="78">
        <v>0</v>
      </c>
      <c r="G212" s="78">
        <v>0</v>
      </c>
      <c r="H212" s="78">
        <v>0</v>
      </c>
      <c r="I212" s="78">
        <v>0</v>
      </c>
      <c r="J212" s="78">
        <v>0</v>
      </c>
      <c r="K212" s="78" t="e">
        <f>SUMIFS(#REF!,#REF!,MLS!A212)</f>
        <v>#REF!</v>
      </c>
      <c r="L212" s="78" t="e">
        <f>SUMIFS(#REF!,#REF!,MLS!A212)</f>
        <v>#REF!</v>
      </c>
      <c r="M212" s="78">
        <v>0</v>
      </c>
      <c r="N212" s="78">
        <f>ROUND(SUMIFS(TB_Convert!M:M,TB_Convert!A:A,A212),0)</f>
        <v>0</v>
      </c>
      <c r="O212" s="89" t="str">
        <f t="shared" si="97"/>
        <v>H</v>
      </c>
    </row>
    <row r="213" spans="1:15" x14ac:dyDescent="0.2">
      <c r="A213" s="68">
        <v>313008</v>
      </c>
      <c r="B213" s="77">
        <v>3337</v>
      </c>
      <c r="C213" s="77">
        <v>313</v>
      </c>
      <c r="D213" s="77" t="s">
        <v>717</v>
      </c>
      <c r="E213" s="77" t="s">
        <v>322</v>
      </c>
      <c r="F213" s="78">
        <v>0</v>
      </c>
      <c r="G213" s="78">
        <v>0</v>
      </c>
      <c r="H213" s="78">
        <v>0</v>
      </c>
      <c r="I213" s="78">
        <v>0</v>
      </c>
      <c r="J213" s="78">
        <v>0</v>
      </c>
      <c r="K213" s="78" t="e">
        <f>SUMIFS(#REF!,#REF!,MLS!A213)</f>
        <v>#REF!</v>
      </c>
      <c r="L213" s="78" t="e">
        <f>SUMIFS(#REF!,#REF!,MLS!A213)</f>
        <v>#REF!</v>
      </c>
      <c r="M213" s="78">
        <v>0</v>
      </c>
      <c r="N213" s="78">
        <f>ROUND(SUMIFS(TB_Convert!M:M,TB_Convert!A:A,A213),0)</f>
        <v>0</v>
      </c>
      <c r="O213" s="89" t="str">
        <f t="shared" si="97"/>
        <v>H</v>
      </c>
    </row>
    <row r="214" spans="1:15" x14ac:dyDescent="0.2">
      <c r="A214" s="68">
        <v>313009</v>
      </c>
      <c r="B214" s="77">
        <v>3338</v>
      </c>
      <c r="C214" s="77">
        <v>313</v>
      </c>
      <c r="D214" s="77" t="s">
        <v>718</v>
      </c>
      <c r="E214" s="77" t="s">
        <v>398</v>
      </c>
      <c r="F214" s="78">
        <v>0</v>
      </c>
      <c r="G214" s="78">
        <v>0</v>
      </c>
      <c r="H214" s="78">
        <v>0</v>
      </c>
      <c r="I214" s="78">
        <v>0</v>
      </c>
      <c r="J214" s="78">
        <v>0</v>
      </c>
      <c r="K214" s="78" t="e">
        <f>SUMIFS(#REF!,#REF!,MLS!A214)</f>
        <v>#REF!</v>
      </c>
      <c r="L214" s="78" t="e">
        <f>SUMIFS(#REF!,#REF!,MLS!A214)</f>
        <v>#REF!</v>
      </c>
      <c r="M214" s="78">
        <v>0</v>
      </c>
      <c r="N214" s="78">
        <f>ROUND(SUMIFS(TB_Convert!M:M,TB_Convert!A:A,A214),0)</f>
        <v>0</v>
      </c>
      <c r="O214" s="89" t="str">
        <f t="shared" si="97"/>
        <v>H</v>
      </c>
    </row>
    <row r="215" spans="1:15" x14ac:dyDescent="0.2">
      <c r="A215" s="80"/>
      <c r="B215" s="80"/>
      <c r="C215" s="80"/>
      <c r="D215" s="80" t="s">
        <v>62</v>
      </c>
      <c r="E215" s="80" t="s">
        <v>180</v>
      </c>
      <c r="F215" s="81">
        <v>0</v>
      </c>
      <c r="G215" s="81">
        <v>0</v>
      </c>
      <c r="H215" s="81">
        <v>0</v>
      </c>
      <c r="I215" s="81">
        <v>0</v>
      </c>
      <c r="J215" s="81">
        <v>-9290859479</v>
      </c>
      <c r="K215" s="81" t="e">
        <f t="shared" ref="K215:M215" si="98">SUM(K206:K214)</f>
        <v>#REF!</v>
      </c>
      <c r="L215" s="81" t="e">
        <f t="shared" si="98"/>
        <v>#REF!</v>
      </c>
      <c r="M215" s="81">
        <v>-9290859479</v>
      </c>
      <c r="N215" s="81">
        <f t="shared" ref="N215" si="99">SUM(N206:N214)</f>
        <v>-1514531883</v>
      </c>
      <c r="O215" s="89" t="str">
        <f t="shared" si="97"/>
        <v>S</v>
      </c>
    </row>
    <row r="216" spans="1:15" x14ac:dyDescent="0.2">
      <c r="A216" s="80">
        <v>314001</v>
      </c>
      <c r="B216" s="80">
        <v>334</v>
      </c>
      <c r="C216" s="80">
        <v>314</v>
      </c>
      <c r="D216" s="80" t="s">
        <v>63</v>
      </c>
      <c r="E216" s="80" t="s">
        <v>181</v>
      </c>
      <c r="F216" s="81">
        <v>0</v>
      </c>
      <c r="G216" s="81">
        <v>0</v>
      </c>
      <c r="H216" s="81">
        <v>0</v>
      </c>
      <c r="I216" s="81">
        <v>0</v>
      </c>
      <c r="J216" s="81">
        <v>0</v>
      </c>
      <c r="K216" s="338" t="e">
        <f>SUMIFS(#REF!,#REF!,MLS!A216)</f>
        <v>#REF!</v>
      </c>
      <c r="L216" s="338" t="e">
        <f>SUMIFS(#REF!,#REF!,MLS!A216)</f>
        <v>#REF!</v>
      </c>
      <c r="M216" s="81">
        <v>0</v>
      </c>
      <c r="N216" s="81">
        <f ca="1">SUMIF(TB_Convert!$A$4:$K$86,MLS!E216,TB_Convert!$K$4:$K$86)</f>
        <v>0</v>
      </c>
      <c r="O216" s="89" t="str">
        <f t="shared" si="97"/>
        <v>H</v>
      </c>
    </row>
    <row r="217" spans="1:15" x14ac:dyDescent="0.2">
      <c r="A217" s="80">
        <v>315001</v>
      </c>
      <c r="B217" s="80">
        <v>335</v>
      </c>
      <c r="C217" s="80">
        <v>315</v>
      </c>
      <c r="D217" s="80" t="s">
        <v>724</v>
      </c>
      <c r="E217" s="80" t="s">
        <v>182</v>
      </c>
      <c r="F217" s="81">
        <v>-1314471822</v>
      </c>
      <c r="G217" s="81">
        <v>0</v>
      </c>
      <c r="H217" s="81">
        <v>0</v>
      </c>
      <c r="I217" s="81">
        <v>-1314471822</v>
      </c>
      <c r="J217" s="81">
        <v>-1605979167</v>
      </c>
      <c r="K217" s="338" t="e">
        <f>SUMIFS(#REF!,#REF!,MLS!A217)</f>
        <v>#REF!</v>
      </c>
      <c r="L217" s="338" t="e">
        <f>SUMIFS(#REF!,#REF!,MLS!A217)</f>
        <v>#REF!</v>
      </c>
      <c r="M217" s="81">
        <v>-1683767647</v>
      </c>
      <c r="N217" s="81">
        <f>ROUND(SUMIFS(TB_Convert!M:M,TB_Convert!A:A,A217),0)</f>
        <v>-8000000000</v>
      </c>
      <c r="O217" s="89" t="str">
        <f t="shared" si="97"/>
        <v>S</v>
      </c>
    </row>
    <row r="218" spans="1:15" x14ac:dyDescent="0.2">
      <c r="A218" s="68">
        <v>316001</v>
      </c>
      <c r="B218" s="77">
        <v>3362</v>
      </c>
      <c r="C218" s="77">
        <v>316</v>
      </c>
      <c r="D218" s="77" t="s">
        <v>399</v>
      </c>
      <c r="E218" s="77" t="s">
        <v>400</v>
      </c>
      <c r="F218" s="78">
        <v>0</v>
      </c>
      <c r="G218" s="78">
        <v>0</v>
      </c>
      <c r="H218" s="78">
        <v>0</v>
      </c>
      <c r="I218" s="78">
        <v>0</v>
      </c>
      <c r="J218" s="78">
        <v>0</v>
      </c>
      <c r="K218" s="78" t="e">
        <f>SUMIFS(#REF!,#REF!,MLS!A218)</f>
        <v>#REF!</v>
      </c>
      <c r="L218" s="78" t="e">
        <f>SUMIFS(#REF!,#REF!,MLS!A218)</f>
        <v>#REF!</v>
      </c>
      <c r="M218" s="78">
        <v>0</v>
      </c>
      <c r="N218" s="78">
        <f>ROUND(SUMIFS(TB_Convert!M:M,TB_Convert!A:A,A218),0)</f>
        <v>0</v>
      </c>
      <c r="O218" s="89" t="str">
        <f t="shared" si="97"/>
        <v>H</v>
      </c>
    </row>
    <row r="219" spans="1:15" x14ac:dyDescent="0.2">
      <c r="A219" s="68">
        <v>316002</v>
      </c>
      <c r="B219" s="77">
        <v>3363</v>
      </c>
      <c r="C219" s="77">
        <v>316</v>
      </c>
      <c r="D219" s="77" t="s">
        <v>401</v>
      </c>
      <c r="E219" s="77" t="s">
        <v>402</v>
      </c>
      <c r="F219" s="78">
        <v>0</v>
      </c>
      <c r="G219" s="78">
        <v>0</v>
      </c>
      <c r="H219" s="78">
        <v>0</v>
      </c>
      <c r="I219" s="78">
        <v>0</v>
      </c>
      <c r="J219" s="78">
        <v>0</v>
      </c>
      <c r="K219" s="78" t="e">
        <f>SUMIFS(#REF!,#REF!,MLS!A219)</f>
        <v>#REF!</v>
      </c>
      <c r="L219" s="78" t="e">
        <f>SUMIFS(#REF!,#REF!,MLS!A219)</f>
        <v>#REF!</v>
      </c>
      <c r="M219" s="78">
        <v>0</v>
      </c>
      <c r="N219" s="78">
        <f>ROUND(SUMIFS(TB_Convert!M:M,TB_Convert!A:A,A219),0)</f>
        <v>0</v>
      </c>
      <c r="O219" s="89" t="str">
        <f t="shared" si="97"/>
        <v>H</v>
      </c>
    </row>
    <row r="220" spans="1:15" x14ac:dyDescent="0.2">
      <c r="A220" s="68">
        <v>316003</v>
      </c>
      <c r="B220" s="77">
        <v>3368</v>
      </c>
      <c r="C220" s="77">
        <v>316</v>
      </c>
      <c r="D220" s="77" t="s">
        <v>403</v>
      </c>
      <c r="E220" s="77" t="s">
        <v>404</v>
      </c>
      <c r="F220" s="78">
        <v>0</v>
      </c>
      <c r="G220" s="78">
        <v>0</v>
      </c>
      <c r="H220" s="78">
        <v>0</v>
      </c>
      <c r="I220" s="78">
        <v>0</v>
      </c>
      <c r="J220" s="78">
        <v>0</v>
      </c>
      <c r="K220" s="78" t="e">
        <f>SUMIFS(#REF!,#REF!,MLS!A220)</f>
        <v>#REF!</v>
      </c>
      <c r="L220" s="78" t="e">
        <f>SUMIFS(#REF!,#REF!,MLS!A220)</f>
        <v>#REF!</v>
      </c>
      <c r="M220" s="78">
        <v>0</v>
      </c>
      <c r="N220" s="78">
        <f>ROUND(SUMIFS(TB_Convert!M:M,TB_Convert!A:A,A220),0)</f>
        <v>0</v>
      </c>
      <c r="O220" s="89" t="str">
        <f t="shared" si="97"/>
        <v>H</v>
      </c>
    </row>
    <row r="221" spans="1:15" x14ac:dyDescent="0.2">
      <c r="A221" s="80"/>
      <c r="B221" s="80"/>
      <c r="C221" s="80"/>
      <c r="D221" s="80" t="s">
        <v>65</v>
      </c>
      <c r="E221" s="80" t="s">
        <v>183</v>
      </c>
      <c r="F221" s="81">
        <v>0</v>
      </c>
      <c r="G221" s="81">
        <v>0</v>
      </c>
      <c r="H221" s="81">
        <v>0</v>
      </c>
      <c r="I221" s="81">
        <v>0</v>
      </c>
      <c r="J221" s="81">
        <v>0</v>
      </c>
      <c r="K221" s="81" t="e">
        <f t="shared" ref="K221:M221" si="100">SUM(K218:K220)</f>
        <v>#REF!</v>
      </c>
      <c r="L221" s="81" t="e">
        <f t="shared" si="100"/>
        <v>#REF!</v>
      </c>
      <c r="M221" s="81">
        <v>0</v>
      </c>
      <c r="N221" s="81">
        <f t="shared" ref="N221" si="101">SUM(N218:N220)</f>
        <v>0</v>
      </c>
      <c r="O221" s="89" t="str">
        <f t="shared" si="97"/>
        <v>H</v>
      </c>
    </row>
    <row r="222" spans="1:15" x14ac:dyDescent="0.2">
      <c r="A222" s="80">
        <v>317001</v>
      </c>
      <c r="B222" s="80">
        <v>337</v>
      </c>
      <c r="C222" s="80">
        <v>317</v>
      </c>
      <c r="D222" s="80" t="s">
        <v>66</v>
      </c>
      <c r="E222" s="80" t="s">
        <v>184</v>
      </c>
      <c r="F222" s="81">
        <v>0</v>
      </c>
      <c r="G222" s="81">
        <v>0</v>
      </c>
      <c r="H222" s="81">
        <v>0</v>
      </c>
      <c r="I222" s="81">
        <v>0</v>
      </c>
      <c r="J222" s="81">
        <v>0</v>
      </c>
      <c r="K222" s="338" t="e">
        <f>SUMIFS(#REF!,#REF!,MLS!A222)</f>
        <v>#REF!</v>
      </c>
      <c r="L222" s="338" t="e">
        <f>SUMIFS(#REF!,#REF!,MLS!A222)</f>
        <v>#REF!</v>
      </c>
      <c r="M222" s="81">
        <v>0</v>
      </c>
      <c r="N222" s="81">
        <f ca="1">SUMIF(TB_Convert!$A$4:$K$86,MLS!E222,TB_Convert!$K$4:$K$86)</f>
        <v>0</v>
      </c>
      <c r="O222" s="89" t="str">
        <f t="shared" si="97"/>
        <v>H</v>
      </c>
    </row>
    <row r="223" spans="1:15" x14ac:dyDescent="0.2">
      <c r="A223" s="80">
        <v>318001</v>
      </c>
      <c r="B223" s="80">
        <v>3387</v>
      </c>
      <c r="C223" s="80">
        <v>318</v>
      </c>
      <c r="D223" s="80" t="s">
        <v>67</v>
      </c>
      <c r="E223" s="80" t="s">
        <v>185</v>
      </c>
      <c r="F223" s="81">
        <v>0</v>
      </c>
      <c r="G223" s="81">
        <v>0</v>
      </c>
      <c r="H223" s="81">
        <v>-37632295441</v>
      </c>
      <c r="I223" s="81">
        <v>-37632295441</v>
      </c>
      <c r="J223" s="81">
        <v>0</v>
      </c>
      <c r="K223" s="338" t="e">
        <f>SUMIFS(#REF!,#REF!,MLS!A223)</f>
        <v>#REF!</v>
      </c>
      <c r="L223" s="338" t="e">
        <f>SUMIFS(#REF!,#REF!,MLS!A223)</f>
        <v>#REF!</v>
      </c>
      <c r="M223" s="81">
        <v>0</v>
      </c>
      <c r="N223" s="81">
        <f ca="1">SUMIF(TB_Convert!$A$4:$K$86,MLS!E223,TB_Convert!$K$4:$K$86)</f>
        <v>0</v>
      </c>
      <c r="O223" s="89" t="str">
        <f t="shared" si="97"/>
        <v>S</v>
      </c>
    </row>
    <row r="224" spans="1:15" x14ac:dyDescent="0.2">
      <c r="A224" s="68">
        <v>319001</v>
      </c>
      <c r="B224" s="77">
        <v>1385</v>
      </c>
      <c r="C224" s="77">
        <v>319</v>
      </c>
      <c r="D224" s="77" t="s">
        <v>263</v>
      </c>
      <c r="E224" s="77" t="s">
        <v>264</v>
      </c>
      <c r="F224" s="78">
        <v>0</v>
      </c>
      <c r="G224" s="78">
        <v>0</v>
      </c>
      <c r="H224" s="78">
        <v>0</v>
      </c>
      <c r="I224" s="78">
        <v>0</v>
      </c>
      <c r="J224" s="78">
        <v>0</v>
      </c>
      <c r="K224" s="78" t="e">
        <f>SUMIFS(#REF!,#REF!,MLS!A224)</f>
        <v>#REF!</v>
      </c>
      <c r="L224" s="78" t="e">
        <f>SUMIFS(#REF!,#REF!,MLS!A224)</f>
        <v>#REF!</v>
      </c>
      <c r="M224" s="78">
        <v>0</v>
      </c>
      <c r="N224" s="78">
        <f>ROUND(SUMIFS(TB_Convert!M:M,TB_Convert!A:A,A224),0)</f>
        <v>0</v>
      </c>
      <c r="O224" s="89" t="str">
        <f t="shared" si="97"/>
        <v>H</v>
      </c>
    </row>
    <row r="225" spans="1:15" x14ac:dyDescent="0.2">
      <c r="A225" s="68">
        <v>319002</v>
      </c>
      <c r="B225" s="77">
        <v>1388</v>
      </c>
      <c r="C225" s="77">
        <v>319</v>
      </c>
      <c r="D225" s="77" t="s">
        <v>702</v>
      </c>
      <c r="E225" s="77" t="s">
        <v>266</v>
      </c>
      <c r="F225" s="78">
        <v>0</v>
      </c>
      <c r="G225" s="78">
        <v>0</v>
      </c>
      <c r="H225" s="78">
        <v>0</v>
      </c>
      <c r="I225" s="78">
        <v>0</v>
      </c>
      <c r="J225" s="78">
        <v>0</v>
      </c>
      <c r="K225" s="78" t="e">
        <f>SUMIFS(#REF!,#REF!,MLS!A225)</f>
        <v>#REF!</v>
      </c>
      <c r="L225" s="78" t="e">
        <f>SUMIFS(#REF!,#REF!,MLS!A225)</f>
        <v>#REF!</v>
      </c>
      <c r="M225" s="78">
        <v>0</v>
      </c>
      <c r="N225" s="78">
        <f>ROUND(SUMIFS(TB_Convert!M:M,TB_Convert!A:A,A225),0)</f>
        <v>0</v>
      </c>
      <c r="O225" s="89" t="str">
        <f t="shared" si="97"/>
        <v>H</v>
      </c>
    </row>
    <row r="226" spans="1:15" x14ac:dyDescent="0.2">
      <c r="A226" s="68">
        <v>319003</v>
      </c>
      <c r="B226" s="77">
        <v>338</v>
      </c>
      <c r="C226" s="77">
        <v>319</v>
      </c>
      <c r="D226" s="77" t="s">
        <v>705</v>
      </c>
      <c r="E226" s="77" t="s">
        <v>268</v>
      </c>
      <c r="F226" s="78">
        <v>0</v>
      </c>
      <c r="G226" s="78">
        <v>0</v>
      </c>
      <c r="H226" s="78">
        <v>0</v>
      </c>
      <c r="I226" s="78">
        <v>0</v>
      </c>
      <c r="J226" s="78">
        <v>0</v>
      </c>
      <c r="K226" s="78" t="e">
        <f>SUMIFS(#REF!,#REF!,MLS!A226)</f>
        <v>#REF!</v>
      </c>
      <c r="L226" s="78" t="e">
        <f>SUMIFS(#REF!,#REF!,MLS!A226)</f>
        <v>#REF!</v>
      </c>
      <c r="M226" s="78">
        <v>0</v>
      </c>
      <c r="N226" s="78">
        <f>ROUND(SUMIFS(TB_Convert!M:M,TB_Convert!A:A,A226),0)</f>
        <v>0</v>
      </c>
      <c r="O226" s="89" t="str">
        <f t="shared" si="97"/>
        <v>H</v>
      </c>
    </row>
    <row r="227" spans="1:15" x14ac:dyDescent="0.2">
      <c r="A227" s="68">
        <v>319004</v>
      </c>
      <c r="B227" s="77">
        <v>334</v>
      </c>
      <c r="C227" s="77">
        <v>319</v>
      </c>
      <c r="D227" s="77" t="s">
        <v>427</v>
      </c>
      <c r="E227" s="77" t="s">
        <v>428</v>
      </c>
      <c r="F227" s="78">
        <v>0</v>
      </c>
      <c r="G227" s="78">
        <v>0</v>
      </c>
      <c r="H227" s="78">
        <v>0</v>
      </c>
      <c r="I227" s="78">
        <v>0</v>
      </c>
      <c r="J227" s="78">
        <v>0</v>
      </c>
      <c r="K227" s="78" t="e">
        <f>SUMIFS(#REF!,#REF!,MLS!A227)</f>
        <v>#REF!</v>
      </c>
      <c r="L227" s="78" t="e">
        <f>SUMIFS(#REF!,#REF!,MLS!A227)</f>
        <v>#REF!</v>
      </c>
      <c r="M227" s="78">
        <v>0</v>
      </c>
      <c r="N227" s="78">
        <f>ROUND(SUMIFS(TB_Convert!M:M,TB_Convert!A:A,A227),0)</f>
        <v>0</v>
      </c>
      <c r="O227" s="89" t="str">
        <f t="shared" si="97"/>
        <v>H</v>
      </c>
    </row>
    <row r="228" spans="1:15" x14ac:dyDescent="0.2">
      <c r="A228" s="80"/>
      <c r="B228" s="80"/>
      <c r="C228" s="80"/>
      <c r="D228" s="80" t="s">
        <v>68</v>
      </c>
      <c r="E228" s="80" t="s">
        <v>186</v>
      </c>
      <c r="F228" s="81">
        <v>0</v>
      </c>
      <c r="G228" s="81">
        <v>0</v>
      </c>
      <c r="H228" s="81">
        <v>0</v>
      </c>
      <c r="I228" s="81">
        <v>0</v>
      </c>
      <c r="J228" s="81">
        <v>0</v>
      </c>
      <c r="K228" s="81" t="e">
        <f t="shared" ref="K228:M228" si="102">SUM(K224:K227)</f>
        <v>#REF!</v>
      </c>
      <c r="L228" s="81" t="e">
        <f t="shared" si="102"/>
        <v>#REF!</v>
      </c>
      <c r="M228" s="81">
        <v>0</v>
      </c>
      <c r="N228" s="81">
        <f t="shared" ref="N228" si="103">SUM(N224:N227)</f>
        <v>0</v>
      </c>
      <c r="O228" s="89" t="str">
        <f t="shared" si="97"/>
        <v>H</v>
      </c>
    </row>
    <row r="229" spans="1:15" x14ac:dyDescent="0.2">
      <c r="A229" s="68">
        <v>320001</v>
      </c>
      <c r="B229" s="77">
        <v>3411</v>
      </c>
      <c r="C229" s="77">
        <v>320</v>
      </c>
      <c r="D229" s="77" t="s">
        <v>405</v>
      </c>
      <c r="E229" s="77" t="s">
        <v>406</v>
      </c>
      <c r="F229" s="78">
        <v>0</v>
      </c>
      <c r="G229" s="78">
        <v>0</v>
      </c>
      <c r="H229" s="78">
        <v>0</v>
      </c>
      <c r="I229" s="78">
        <v>0</v>
      </c>
      <c r="J229" s="78">
        <v>0</v>
      </c>
      <c r="K229" s="78" t="e">
        <f>SUMIFS(#REF!,#REF!,MLS!A229)</f>
        <v>#REF!</v>
      </c>
      <c r="L229" s="78" t="e">
        <f>SUMIFS(#REF!,#REF!,MLS!A229)</f>
        <v>#REF!</v>
      </c>
      <c r="M229" s="78">
        <v>0</v>
      </c>
      <c r="N229" s="78">
        <f>ROUND(SUMIFS(TB_Convert!M:M,TB_Convert!A:A,A229),0)</f>
        <v>-35000000000</v>
      </c>
      <c r="O229" s="89" t="str">
        <f t="shared" si="97"/>
        <v>H</v>
      </c>
    </row>
    <row r="230" spans="1:15" x14ac:dyDescent="0.2">
      <c r="A230" s="68">
        <v>320002</v>
      </c>
      <c r="B230" s="77">
        <v>3412</v>
      </c>
      <c r="C230" s="77">
        <v>320</v>
      </c>
      <c r="D230" s="77" t="s">
        <v>407</v>
      </c>
      <c r="E230" s="77" t="s">
        <v>408</v>
      </c>
      <c r="F230" s="78">
        <v>0</v>
      </c>
      <c r="G230" s="78">
        <v>0</v>
      </c>
      <c r="H230" s="78">
        <v>0</v>
      </c>
      <c r="I230" s="78">
        <v>0</v>
      </c>
      <c r="J230" s="78">
        <v>0</v>
      </c>
      <c r="K230" s="78" t="e">
        <f>SUMIFS(#REF!,#REF!,MLS!A230)</f>
        <v>#REF!</v>
      </c>
      <c r="L230" s="78" t="e">
        <f>SUMIFS(#REF!,#REF!,MLS!A230)</f>
        <v>#REF!</v>
      </c>
      <c r="M230" s="78">
        <v>0</v>
      </c>
      <c r="N230" s="78">
        <f>ROUND(SUMIFS(TB_Convert!M:M,TB_Convert!A:A,A230),0)</f>
        <v>0</v>
      </c>
      <c r="O230" s="89" t="str">
        <f t="shared" si="97"/>
        <v>H</v>
      </c>
    </row>
    <row r="231" spans="1:15" x14ac:dyDescent="0.2">
      <c r="A231" s="68">
        <v>320003</v>
      </c>
      <c r="B231" s="77">
        <v>34311</v>
      </c>
      <c r="C231" s="77">
        <v>320</v>
      </c>
      <c r="D231" s="77" t="s">
        <v>409</v>
      </c>
      <c r="E231" s="77" t="s">
        <v>410</v>
      </c>
      <c r="F231" s="78">
        <v>0</v>
      </c>
      <c r="G231" s="78">
        <v>0</v>
      </c>
      <c r="H231" s="78">
        <v>0</v>
      </c>
      <c r="I231" s="78">
        <v>0</v>
      </c>
      <c r="J231" s="78">
        <v>0</v>
      </c>
      <c r="K231" s="78" t="e">
        <f>SUMIFS(#REF!,#REF!,MLS!A231)</f>
        <v>#REF!</v>
      </c>
      <c r="L231" s="78" t="e">
        <f>SUMIFS(#REF!,#REF!,MLS!A231)</f>
        <v>#REF!</v>
      </c>
      <c r="M231" s="78">
        <v>0</v>
      </c>
      <c r="N231" s="78">
        <f>ROUND(SUMIFS(TB_Convert!M:M,TB_Convert!A:A,A231),0)</f>
        <v>0</v>
      </c>
      <c r="O231" s="89" t="str">
        <f t="shared" si="97"/>
        <v>H</v>
      </c>
    </row>
    <row r="232" spans="1:15" x14ac:dyDescent="0.2">
      <c r="A232" s="80"/>
      <c r="B232" s="80"/>
      <c r="C232" s="80"/>
      <c r="D232" s="80" t="s">
        <v>69</v>
      </c>
      <c r="E232" s="80" t="s">
        <v>187</v>
      </c>
      <c r="F232" s="81">
        <v>0</v>
      </c>
      <c r="G232" s="81">
        <v>0</v>
      </c>
      <c r="H232" s="81">
        <v>0</v>
      </c>
      <c r="I232" s="81">
        <v>0</v>
      </c>
      <c r="J232" s="81">
        <v>0</v>
      </c>
      <c r="K232" s="81" t="e">
        <f t="shared" ref="K232:M232" si="104">SUM(K229:K231)</f>
        <v>#REF!</v>
      </c>
      <c r="L232" s="81" t="e">
        <f t="shared" si="104"/>
        <v>#REF!</v>
      </c>
      <c r="M232" s="81">
        <v>0</v>
      </c>
      <c r="N232" s="81">
        <f t="shared" ref="N232" si="105">SUM(N229:N231)</f>
        <v>-35000000000</v>
      </c>
      <c r="O232" s="89" t="str">
        <f t="shared" si="97"/>
        <v>H</v>
      </c>
    </row>
    <row r="233" spans="1:15" s="89" customFormat="1" x14ac:dyDescent="0.2">
      <c r="A233" s="89">
        <v>321001</v>
      </c>
      <c r="B233" s="87">
        <v>3521</v>
      </c>
      <c r="C233" s="77">
        <v>321</v>
      </c>
      <c r="D233" s="87" t="s">
        <v>411</v>
      </c>
      <c r="E233" s="87" t="s">
        <v>412</v>
      </c>
      <c r="F233" s="88">
        <v>0</v>
      </c>
      <c r="G233" s="88">
        <v>0</v>
      </c>
      <c r="H233" s="88">
        <v>0</v>
      </c>
      <c r="I233" s="88">
        <v>0</v>
      </c>
      <c r="J233" s="88">
        <v>0</v>
      </c>
      <c r="K233" s="78" t="e">
        <f>SUMIFS(#REF!,#REF!,MLS!A233)</f>
        <v>#REF!</v>
      </c>
      <c r="L233" s="78" t="e">
        <f>SUMIFS(#REF!,#REF!,MLS!A233)</f>
        <v>#REF!</v>
      </c>
      <c r="M233" s="88">
        <v>0</v>
      </c>
      <c r="N233" s="88">
        <f>ROUND(SUMIFS(TB_Convert!M:M,TB_Convert!A:A,A233),0)</f>
        <v>0</v>
      </c>
      <c r="O233" s="89" t="str">
        <f t="shared" si="97"/>
        <v>H</v>
      </c>
    </row>
    <row r="234" spans="1:15" s="89" customFormat="1" x14ac:dyDescent="0.2">
      <c r="A234" s="89">
        <v>321002</v>
      </c>
      <c r="B234" s="87">
        <v>3522</v>
      </c>
      <c r="C234" s="77">
        <v>321</v>
      </c>
      <c r="D234" s="87" t="s">
        <v>413</v>
      </c>
      <c r="E234" s="87" t="s">
        <v>414</v>
      </c>
      <c r="F234" s="88">
        <v>0</v>
      </c>
      <c r="G234" s="88">
        <v>0</v>
      </c>
      <c r="H234" s="88">
        <v>0</v>
      </c>
      <c r="I234" s="88">
        <v>0</v>
      </c>
      <c r="J234" s="88">
        <v>0</v>
      </c>
      <c r="K234" s="78" t="e">
        <f>SUMIFS(#REF!,#REF!,MLS!A234)</f>
        <v>#REF!</v>
      </c>
      <c r="L234" s="78" t="e">
        <f>SUMIFS(#REF!,#REF!,MLS!A234)</f>
        <v>#REF!</v>
      </c>
      <c r="M234" s="88">
        <v>0</v>
      </c>
      <c r="N234" s="88">
        <f>ROUND(SUMIFS(TB_Convert!M:M,TB_Convert!A:A,A234),0)</f>
        <v>0</v>
      </c>
      <c r="O234" s="89" t="str">
        <f t="shared" si="97"/>
        <v>H</v>
      </c>
    </row>
    <row r="235" spans="1:15" s="89" customFormat="1" x14ac:dyDescent="0.2">
      <c r="A235" s="89">
        <v>321003</v>
      </c>
      <c r="B235" s="87">
        <v>3523</v>
      </c>
      <c r="C235" s="77">
        <v>321</v>
      </c>
      <c r="D235" s="87" t="s">
        <v>415</v>
      </c>
      <c r="E235" s="87" t="s">
        <v>416</v>
      </c>
      <c r="F235" s="88">
        <v>0</v>
      </c>
      <c r="G235" s="88">
        <v>0</v>
      </c>
      <c r="H235" s="88">
        <v>0</v>
      </c>
      <c r="I235" s="88">
        <v>0</v>
      </c>
      <c r="J235" s="88">
        <v>0</v>
      </c>
      <c r="K235" s="78" t="e">
        <f>SUMIFS(#REF!,#REF!,MLS!A235)</f>
        <v>#REF!</v>
      </c>
      <c r="L235" s="78" t="e">
        <f>SUMIFS(#REF!,#REF!,MLS!A235)</f>
        <v>#REF!</v>
      </c>
      <c r="M235" s="88">
        <v>0</v>
      </c>
      <c r="N235" s="88">
        <f>ROUND(SUMIFS(TB_Convert!M:M,TB_Convert!A:A,A235),0)</f>
        <v>0</v>
      </c>
      <c r="O235" s="89" t="str">
        <f t="shared" si="97"/>
        <v>H</v>
      </c>
    </row>
    <row r="236" spans="1:15" s="89" customFormat="1" x14ac:dyDescent="0.2">
      <c r="A236" s="89">
        <v>321004</v>
      </c>
      <c r="B236" s="87">
        <v>3524</v>
      </c>
      <c r="C236" s="77">
        <v>321</v>
      </c>
      <c r="D236" s="87" t="s">
        <v>417</v>
      </c>
      <c r="E236" s="87" t="s">
        <v>418</v>
      </c>
      <c r="F236" s="88">
        <v>0</v>
      </c>
      <c r="G236" s="88">
        <v>0</v>
      </c>
      <c r="H236" s="88">
        <v>0</v>
      </c>
      <c r="I236" s="88">
        <v>0</v>
      </c>
      <c r="J236" s="88">
        <v>0</v>
      </c>
      <c r="K236" s="78" t="e">
        <f>SUMIFS(#REF!,#REF!,MLS!A236)</f>
        <v>#REF!</v>
      </c>
      <c r="L236" s="78" t="e">
        <f>SUMIFS(#REF!,#REF!,MLS!A236)</f>
        <v>#REF!</v>
      </c>
      <c r="M236" s="88">
        <v>0</v>
      </c>
      <c r="N236" s="88">
        <f>ROUND(SUMIFS(TB_Convert!M:M,TB_Convert!A:A,A236),0)</f>
        <v>0</v>
      </c>
      <c r="O236" s="89" t="str">
        <f t="shared" si="97"/>
        <v>H</v>
      </c>
    </row>
    <row r="237" spans="1:15" x14ac:dyDescent="0.2">
      <c r="A237" s="80"/>
      <c r="B237" s="80"/>
      <c r="C237" s="80"/>
      <c r="D237" s="80" t="s">
        <v>70</v>
      </c>
      <c r="E237" s="80" t="s">
        <v>188</v>
      </c>
      <c r="F237" s="81">
        <v>0</v>
      </c>
      <c r="G237" s="81">
        <v>0</v>
      </c>
      <c r="H237" s="81">
        <v>0</v>
      </c>
      <c r="I237" s="81">
        <v>0</v>
      </c>
      <c r="J237" s="81">
        <v>0</v>
      </c>
      <c r="K237" s="81" t="e">
        <f t="shared" ref="K237:M237" si="106">SUM(K233:K236)</f>
        <v>#REF!</v>
      </c>
      <c r="L237" s="81" t="e">
        <f t="shared" si="106"/>
        <v>#REF!</v>
      </c>
      <c r="M237" s="81">
        <v>0</v>
      </c>
      <c r="N237" s="81">
        <f t="shared" ref="N237" si="107">SUM(N233:N236)</f>
        <v>0</v>
      </c>
      <c r="O237" s="89" t="str">
        <f t="shared" si="97"/>
        <v>H</v>
      </c>
    </row>
    <row r="238" spans="1:15" s="89" customFormat="1" x14ac:dyDescent="0.2">
      <c r="A238" s="89">
        <v>322001</v>
      </c>
      <c r="B238" s="87">
        <v>3531</v>
      </c>
      <c r="C238" s="77">
        <v>322</v>
      </c>
      <c r="D238" s="87" t="s">
        <v>419</v>
      </c>
      <c r="E238" s="87" t="s">
        <v>420</v>
      </c>
      <c r="F238" s="88">
        <v>0</v>
      </c>
      <c r="G238" s="88">
        <v>0</v>
      </c>
      <c r="H238" s="88">
        <v>0</v>
      </c>
      <c r="I238" s="88">
        <v>0</v>
      </c>
      <c r="J238" s="88">
        <v>0</v>
      </c>
      <c r="K238" s="78" t="e">
        <f>SUMIFS(#REF!,#REF!,MLS!A238)</f>
        <v>#REF!</v>
      </c>
      <c r="L238" s="78" t="e">
        <f>SUMIFS(#REF!,#REF!,MLS!A238)</f>
        <v>#REF!</v>
      </c>
      <c r="M238" s="88">
        <v>0</v>
      </c>
      <c r="N238" s="88">
        <f>ROUND(SUMIFS(TB_Convert!M:M,TB_Convert!A:A,A238),0)</f>
        <v>0</v>
      </c>
      <c r="O238" s="89" t="str">
        <f t="shared" si="97"/>
        <v>H</v>
      </c>
    </row>
    <row r="239" spans="1:15" s="89" customFormat="1" x14ac:dyDescent="0.2">
      <c r="A239" s="89">
        <v>322002</v>
      </c>
      <c r="B239" s="87">
        <v>3532</v>
      </c>
      <c r="C239" s="77">
        <v>322</v>
      </c>
      <c r="D239" s="87" t="s">
        <v>421</v>
      </c>
      <c r="E239" s="87" t="s">
        <v>422</v>
      </c>
      <c r="F239" s="88">
        <v>0</v>
      </c>
      <c r="G239" s="88">
        <v>0</v>
      </c>
      <c r="H239" s="88">
        <v>0</v>
      </c>
      <c r="I239" s="88">
        <v>0</v>
      </c>
      <c r="J239" s="88">
        <v>0</v>
      </c>
      <c r="K239" s="78" t="e">
        <f>SUMIFS(#REF!,#REF!,MLS!A239)</f>
        <v>#REF!</v>
      </c>
      <c r="L239" s="78" t="e">
        <f>SUMIFS(#REF!,#REF!,MLS!A239)</f>
        <v>#REF!</v>
      </c>
      <c r="M239" s="88">
        <v>0</v>
      </c>
      <c r="N239" s="88">
        <f>ROUND(SUMIFS(TB_Convert!M:M,TB_Convert!A:A,A239),0)</f>
        <v>0</v>
      </c>
      <c r="O239" s="89" t="str">
        <f t="shared" si="97"/>
        <v>H</v>
      </c>
    </row>
    <row r="240" spans="1:15" s="89" customFormat="1" x14ac:dyDescent="0.2">
      <c r="A240" s="89">
        <v>322003</v>
      </c>
      <c r="B240" s="87">
        <v>3533</v>
      </c>
      <c r="C240" s="77">
        <v>322</v>
      </c>
      <c r="D240" s="87" t="s">
        <v>423</v>
      </c>
      <c r="E240" s="87" t="s">
        <v>424</v>
      </c>
      <c r="F240" s="88">
        <v>0</v>
      </c>
      <c r="G240" s="88">
        <v>0</v>
      </c>
      <c r="H240" s="88">
        <v>0</v>
      </c>
      <c r="I240" s="88">
        <v>0</v>
      </c>
      <c r="J240" s="88">
        <v>0</v>
      </c>
      <c r="K240" s="78" t="e">
        <f>SUMIFS(#REF!,#REF!,MLS!A240)</f>
        <v>#REF!</v>
      </c>
      <c r="L240" s="78" t="e">
        <f>SUMIFS(#REF!,#REF!,MLS!A240)</f>
        <v>#REF!</v>
      </c>
      <c r="M240" s="88">
        <v>0</v>
      </c>
      <c r="N240" s="88">
        <f>ROUND(SUMIFS(TB_Convert!M:M,TB_Convert!A:A,A240),0)</f>
        <v>0</v>
      </c>
      <c r="O240" s="89" t="str">
        <f t="shared" si="97"/>
        <v>H</v>
      </c>
    </row>
    <row r="241" spans="1:15" s="89" customFormat="1" x14ac:dyDescent="0.2">
      <c r="A241" s="89">
        <v>322004</v>
      </c>
      <c r="B241" s="87">
        <v>3534</v>
      </c>
      <c r="C241" s="77">
        <v>322</v>
      </c>
      <c r="D241" s="87" t="s">
        <v>425</v>
      </c>
      <c r="E241" s="87" t="s">
        <v>426</v>
      </c>
      <c r="F241" s="88">
        <v>0</v>
      </c>
      <c r="G241" s="88">
        <v>0</v>
      </c>
      <c r="H241" s="88">
        <v>0</v>
      </c>
      <c r="I241" s="88">
        <v>0</v>
      </c>
      <c r="J241" s="88">
        <v>0</v>
      </c>
      <c r="K241" s="78" t="e">
        <f>SUMIFS(#REF!,#REF!,MLS!A241)</f>
        <v>#REF!</v>
      </c>
      <c r="L241" s="78" t="e">
        <f>SUMIFS(#REF!,#REF!,MLS!A241)</f>
        <v>#REF!</v>
      </c>
      <c r="M241" s="88">
        <v>0</v>
      </c>
      <c r="N241" s="88">
        <f>ROUND(SUMIFS(TB_Convert!M:M,TB_Convert!A:A,A241),0)</f>
        <v>0</v>
      </c>
      <c r="O241" s="89" t="str">
        <f t="shared" si="97"/>
        <v>H</v>
      </c>
    </row>
    <row r="242" spans="1:15" x14ac:dyDescent="0.2">
      <c r="A242" s="80"/>
      <c r="B242" s="80"/>
      <c r="C242" s="80"/>
      <c r="D242" s="80" t="s">
        <v>71</v>
      </c>
      <c r="E242" s="80" t="s">
        <v>189</v>
      </c>
      <c r="F242" s="81">
        <v>0</v>
      </c>
      <c r="G242" s="81">
        <v>0</v>
      </c>
      <c r="H242" s="81">
        <v>0</v>
      </c>
      <c r="I242" s="81">
        <v>0</v>
      </c>
      <c r="J242" s="81">
        <v>0</v>
      </c>
      <c r="K242" s="81" t="e">
        <f t="shared" ref="K242:M242" si="108">SUM(K238:K241)</f>
        <v>#REF!</v>
      </c>
      <c r="L242" s="81" t="e">
        <f t="shared" si="108"/>
        <v>#REF!</v>
      </c>
      <c r="M242" s="81">
        <v>0</v>
      </c>
      <c r="N242" s="81">
        <f t="shared" ref="N242" si="109">SUM(N238:N241)</f>
        <v>0</v>
      </c>
      <c r="O242" s="89" t="str">
        <f t="shared" si="97"/>
        <v>H</v>
      </c>
    </row>
    <row r="243" spans="1:15" x14ac:dyDescent="0.2">
      <c r="A243" s="80">
        <v>323001</v>
      </c>
      <c r="B243" s="80">
        <v>357</v>
      </c>
      <c r="C243" s="80">
        <v>323</v>
      </c>
      <c r="D243" s="80" t="s">
        <v>72</v>
      </c>
      <c r="E243" s="80" t="s">
        <v>190</v>
      </c>
      <c r="F243" s="81">
        <v>0</v>
      </c>
      <c r="G243" s="81">
        <v>0</v>
      </c>
      <c r="H243" s="81">
        <v>0</v>
      </c>
      <c r="I243" s="81">
        <v>0</v>
      </c>
      <c r="J243" s="81">
        <v>0</v>
      </c>
      <c r="K243" s="338" t="e">
        <f>SUMIFS(#REF!,#REF!,MLS!A243)</f>
        <v>#REF!</v>
      </c>
      <c r="L243" s="338" t="e">
        <f>SUMIFS(#REF!,#REF!,MLS!A243)</f>
        <v>#REF!</v>
      </c>
      <c r="M243" s="81">
        <v>0</v>
      </c>
      <c r="N243" s="81">
        <f ca="1">SUMIF(TB_Convert!$A$4:$K$86,MLS!E243,TB_Convert!$K$4:$K$86)</f>
        <v>0</v>
      </c>
      <c r="O243" s="89" t="str">
        <f t="shared" si="97"/>
        <v>H</v>
      </c>
    </row>
    <row r="244" spans="1:15" x14ac:dyDescent="0.2">
      <c r="A244" s="80">
        <v>324001</v>
      </c>
      <c r="B244" s="80">
        <v>171</v>
      </c>
      <c r="C244" s="80">
        <v>324</v>
      </c>
      <c r="D244" s="80" t="s">
        <v>73</v>
      </c>
      <c r="E244" s="80" t="s">
        <v>142</v>
      </c>
      <c r="F244" s="81">
        <v>0</v>
      </c>
      <c r="G244" s="81">
        <v>0</v>
      </c>
      <c r="H244" s="81">
        <v>0</v>
      </c>
      <c r="I244" s="81">
        <v>0</v>
      </c>
      <c r="J244" s="81">
        <v>0</v>
      </c>
      <c r="K244" s="338" t="e">
        <f>SUMIFS(#REF!,#REF!,MLS!A244)</f>
        <v>#REF!</v>
      </c>
      <c r="L244" s="338" t="e">
        <f>SUMIFS(#REF!,#REF!,MLS!A244)</f>
        <v>#REF!</v>
      </c>
      <c r="M244" s="81">
        <v>0</v>
      </c>
      <c r="N244" s="81">
        <f ca="1">SUMIF(TB_Convert!$A$4:$K$86,MLS!E244,TB_Convert!$K$4:$K$86)</f>
        <v>0</v>
      </c>
      <c r="O244" s="89" t="str">
        <f t="shared" si="97"/>
        <v>H</v>
      </c>
    </row>
    <row r="245" spans="1:15" x14ac:dyDescent="0.2">
      <c r="A245" s="93"/>
      <c r="B245" s="93"/>
      <c r="C245" s="93">
        <v>310</v>
      </c>
      <c r="D245" s="93" t="s">
        <v>59</v>
      </c>
      <c r="E245" s="93" t="s">
        <v>177</v>
      </c>
      <c r="F245" s="94">
        <v>-1357371822</v>
      </c>
      <c r="G245" s="94">
        <v>0</v>
      </c>
      <c r="H245" s="94">
        <v>-37632295441</v>
      </c>
      <c r="I245" s="94">
        <v>-38989667263</v>
      </c>
      <c r="J245" s="94">
        <v>-10896838646</v>
      </c>
      <c r="K245" s="94" t="e">
        <f t="shared" ref="K245:M245" si="110">SUM(K204:K205,K215:K217,K221:K223,K228,K232,K237,K242:K244)</f>
        <v>#REF!</v>
      </c>
      <c r="L245" s="94" t="e">
        <f t="shared" si="110"/>
        <v>#REF!</v>
      </c>
      <c r="M245" s="94">
        <v>-10974627126</v>
      </c>
      <c r="N245" s="94">
        <f t="shared" ref="N245" ca="1" si="111">SUM(N204:N205,N215:N217,N221:N223,N228,N232,N237,N242:N244)</f>
        <v>-106614531882</v>
      </c>
      <c r="O245" s="89" t="str">
        <f t="shared" si="97"/>
        <v>S</v>
      </c>
    </row>
    <row r="246" spans="1:15" x14ac:dyDescent="0.2">
      <c r="N246" s="69">
        <f>ROUND(SUMIFS(TB_Convert!M:M,TB_Convert!A:A,A246),0)</f>
        <v>0</v>
      </c>
      <c r="O246" s="89" t="str">
        <f t="shared" si="97"/>
        <v>H</v>
      </c>
    </row>
    <row r="247" spans="1:15" x14ac:dyDescent="0.2">
      <c r="A247" s="80">
        <v>331001</v>
      </c>
      <c r="B247" s="80">
        <v>331</v>
      </c>
      <c r="C247" s="80">
        <v>331</v>
      </c>
      <c r="D247" s="80" t="s">
        <v>75</v>
      </c>
      <c r="E247" s="80" t="s">
        <v>193</v>
      </c>
      <c r="F247" s="81">
        <v>0</v>
      </c>
      <c r="G247" s="81">
        <v>0</v>
      </c>
      <c r="H247" s="81">
        <v>0</v>
      </c>
      <c r="I247" s="81">
        <v>0</v>
      </c>
      <c r="J247" s="81">
        <v>0</v>
      </c>
      <c r="K247" s="338" t="e">
        <f>SUMIFS(#REF!,#REF!,MLS!A247)</f>
        <v>#REF!</v>
      </c>
      <c r="L247" s="338" t="e">
        <f>SUMIFS(#REF!,#REF!,MLS!A247)</f>
        <v>#REF!</v>
      </c>
      <c r="M247" s="81">
        <v>0</v>
      </c>
      <c r="N247" s="81">
        <f ca="1">SUMIF(TB_Convert!$A$4:$K$86,MLS!E247,TB_Convert!$K$4:$K$86)</f>
        <v>0</v>
      </c>
      <c r="O247" s="89" t="str">
        <f t="shared" si="97"/>
        <v>H</v>
      </c>
    </row>
    <row r="248" spans="1:15" x14ac:dyDescent="0.2">
      <c r="A248" s="80">
        <v>332001</v>
      </c>
      <c r="B248" s="80">
        <v>131</v>
      </c>
      <c r="C248" s="80">
        <v>332</v>
      </c>
      <c r="D248" s="80" t="s">
        <v>76</v>
      </c>
      <c r="E248" s="80" t="s">
        <v>194</v>
      </c>
      <c r="F248" s="81">
        <v>0</v>
      </c>
      <c r="G248" s="81">
        <v>0</v>
      </c>
      <c r="H248" s="81">
        <v>0</v>
      </c>
      <c r="I248" s="81">
        <v>0</v>
      </c>
      <c r="J248" s="81">
        <v>0</v>
      </c>
      <c r="K248" s="338" t="e">
        <f>SUMIFS(#REF!,#REF!,MLS!A248)</f>
        <v>#REF!</v>
      </c>
      <c r="L248" s="338" t="e">
        <f>SUMIFS(#REF!,#REF!,MLS!A248)</f>
        <v>#REF!</v>
      </c>
      <c r="M248" s="81">
        <v>0</v>
      </c>
      <c r="N248" s="81">
        <f ca="1">SUMIF(TB_Convert!$A$4:$K$86,MLS!E248,TB_Convert!$K$4:$K$86)</f>
        <v>0</v>
      </c>
      <c r="O248" s="89" t="str">
        <f t="shared" si="97"/>
        <v>H</v>
      </c>
    </row>
    <row r="249" spans="1:15" x14ac:dyDescent="0.2">
      <c r="A249" s="80">
        <v>333001</v>
      </c>
      <c r="B249" s="80">
        <v>335</v>
      </c>
      <c r="C249" s="80">
        <v>333</v>
      </c>
      <c r="D249" s="80" t="s">
        <v>77</v>
      </c>
      <c r="E249" s="80" t="s">
        <v>195</v>
      </c>
      <c r="F249" s="81">
        <v>0</v>
      </c>
      <c r="G249" s="81">
        <v>0</v>
      </c>
      <c r="H249" s="81">
        <v>0</v>
      </c>
      <c r="I249" s="81">
        <v>0</v>
      </c>
      <c r="J249" s="81">
        <v>0</v>
      </c>
      <c r="K249" s="338" t="e">
        <f>SUMIFS(#REF!,#REF!,MLS!A249)</f>
        <v>#REF!</v>
      </c>
      <c r="L249" s="338" t="e">
        <f>SUMIFS(#REF!,#REF!,MLS!A249)</f>
        <v>#REF!</v>
      </c>
      <c r="M249" s="81">
        <v>0</v>
      </c>
      <c r="N249" s="81">
        <f ca="1">SUMIF(TB_Convert!$A$4:$K$86,MLS!E249,TB_Convert!$K$4:$K$86)</f>
        <v>0</v>
      </c>
      <c r="O249" s="89" t="str">
        <f t="shared" si="97"/>
        <v>H</v>
      </c>
    </row>
    <row r="250" spans="1:15" x14ac:dyDescent="0.2">
      <c r="A250" s="80">
        <v>334001</v>
      </c>
      <c r="B250" s="80">
        <v>3361</v>
      </c>
      <c r="C250" s="80">
        <v>334</v>
      </c>
      <c r="D250" s="80" t="s">
        <v>78</v>
      </c>
      <c r="E250" s="80" t="s">
        <v>196</v>
      </c>
      <c r="F250" s="81">
        <v>0</v>
      </c>
      <c r="G250" s="81">
        <v>0</v>
      </c>
      <c r="H250" s="81">
        <v>0</v>
      </c>
      <c r="I250" s="81">
        <v>0</v>
      </c>
      <c r="J250" s="81">
        <v>0</v>
      </c>
      <c r="K250" s="338" t="e">
        <f>SUMIFS(#REF!,#REF!,MLS!A250)</f>
        <v>#REF!</v>
      </c>
      <c r="L250" s="338" t="e">
        <f>SUMIFS(#REF!,#REF!,MLS!A250)</f>
        <v>#REF!</v>
      </c>
      <c r="M250" s="81">
        <v>0</v>
      </c>
      <c r="N250" s="81">
        <f ca="1">SUMIF(TB_Convert!$A$4:$K$86,MLS!E250,TB_Convert!$K$4:$K$86)</f>
        <v>0</v>
      </c>
      <c r="O250" s="89" t="str">
        <f t="shared" si="97"/>
        <v>H</v>
      </c>
    </row>
    <row r="251" spans="1:15" x14ac:dyDescent="0.2">
      <c r="A251" s="68">
        <v>335001</v>
      </c>
      <c r="B251" s="77">
        <v>3362</v>
      </c>
      <c r="C251" s="77">
        <v>335</v>
      </c>
      <c r="D251" s="77" t="s">
        <v>399</v>
      </c>
      <c r="E251" s="77" t="s">
        <v>400</v>
      </c>
      <c r="F251" s="78">
        <v>0</v>
      </c>
      <c r="G251" s="78">
        <v>0</v>
      </c>
      <c r="H251" s="78">
        <v>0</v>
      </c>
      <c r="I251" s="78">
        <v>0</v>
      </c>
      <c r="J251" s="78">
        <v>0</v>
      </c>
      <c r="K251" s="78" t="e">
        <f>SUMIFS(#REF!,#REF!,MLS!A251)</f>
        <v>#REF!</v>
      </c>
      <c r="L251" s="78" t="e">
        <f>SUMIFS(#REF!,#REF!,MLS!A251)</f>
        <v>#REF!</v>
      </c>
      <c r="M251" s="78">
        <v>0</v>
      </c>
      <c r="N251" s="78">
        <f>ROUND(SUMIFS(TB_Convert!M:M,TB_Convert!A:A,A251),0)</f>
        <v>0</v>
      </c>
      <c r="O251" s="89" t="str">
        <f t="shared" si="97"/>
        <v>H</v>
      </c>
    </row>
    <row r="252" spans="1:15" x14ac:dyDescent="0.2">
      <c r="A252" s="68">
        <v>335002</v>
      </c>
      <c r="B252" s="77">
        <v>3363</v>
      </c>
      <c r="C252" s="77">
        <v>335</v>
      </c>
      <c r="D252" s="77" t="s">
        <v>401</v>
      </c>
      <c r="E252" s="77" t="s">
        <v>402</v>
      </c>
      <c r="F252" s="78">
        <v>0</v>
      </c>
      <c r="G252" s="78">
        <v>0</v>
      </c>
      <c r="H252" s="78">
        <v>0</v>
      </c>
      <c r="I252" s="78">
        <v>0</v>
      </c>
      <c r="J252" s="78">
        <v>0</v>
      </c>
      <c r="K252" s="78" t="e">
        <f>SUMIFS(#REF!,#REF!,MLS!A252)</f>
        <v>#REF!</v>
      </c>
      <c r="L252" s="78" t="e">
        <f>SUMIFS(#REF!,#REF!,MLS!A252)</f>
        <v>#REF!</v>
      </c>
      <c r="M252" s="78">
        <v>0</v>
      </c>
      <c r="N252" s="78">
        <f>ROUND(SUMIFS(TB_Convert!M:M,TB_Convert!A:A,A252),0)</f>
        <v>0</v>
      </c>
      <c r="O252" s="89" t="str">
        <f t="shared" si="97"/>
        <v>H</v>
      </c>
    </row>
    <row r="253" spans="1:15" x14ac:dyDescent="0.2">
      <c r="A253" s="68">
        <v>335003</v>
      </c>
      <c r="B253" s="77">
        <v>3368</v>
      </c>
      <c r="C253" s="77">
        <v>335</v>
      </c>
      <c r="D253" s="77" t="s">
        <v>403</v>
      </c>
      <c r="E253" s="77" t="s">
        <v>404</v>
      </c>
      <c r="F253" s="78">
        <v>0</v>
      </c>
      <c r="G253" s="78">
        <v>0</v>
      </c>
      <c r="H253" s="78">
        <v>0</v>
      </c>
      <c r="I253" s="78">
        <v>0</v>
      </c>
      <c r="J253" s="78">
        <v>0</v>
      </c>
      <c r="K253" s="78" t="e">
        <f>SUMIFS(#REF!,#REF!,MLS!A253)</f>
        <v>#REF!</v>
      </c>
      <c r="L253" s="78" t="e">
        <f>SUMIFS(#REF!,#REF!,MLS!A253)</f>
        <v>#REF!</v>
      </c>
      <c r="M253" s="78">
        <v>0</v>
      </c>
      <c r="N253" s="78">
        <f>ROUND(SUMIFS(TB_Convert!M:M,TB_Convert!A:A,A253),0)</f>
        <v>0</v>
      </c>
      <c r="O253" s="89" t="str">
        <f t="shared" si="97"/>
        <v>H</v>
      </c>
    </row>
    <row r="254" spans="1:15" x14ac:dyDescent="0.2">
      <c r="A254" s="80"/>
      <c r="B254" s="80"/>
      <c r="C254" s="80"/>
      <c r="D254" s="80" t="s">
        <v>79</v>
      </c>
      <c r="E254" s="80" t="s">
        <v>197</v>
      </c>
      <c r="F254" s="81">
        <v>0</v>
      </c>
      <c r="G254" s="81">
        <v>0</v>
      </c>
      <c r="H254" s="81">
        <v>0</v>
      </c>
      <c r="I254" s="81">
        <v>0</v>
      </c>
      <c r="J254" s="81">
        <v>0</v>
      </c>
      <c r="K254" s="81" t="e">
        <f t="shared" ref="K254:M254" si="112">SUM(K251:K253)</f>
        <v>#REF!</v>
      </c>
      <c r="L254" s="81" t="e">
        <f t="shared" si="112"/>
        <v>#REF!</v>
      </c>
      <c r="M254" s="81">
        <v>0</v>
      </c>
      <c r="N254" s="81">
        <f t="shared" ref="N254" si="113">SUM(N251:N253)</f>
        <v>0</v>
      </c>
      <c r="O254" s="89" t="str">
        <f t="shared" si="97"/>
        <v>H</v>
      </c>
    </row>
    <row r="255" spans="1:15" x14ac:dyDescent="0.2">
      <c r="A255" s="80">
        <v>336001</v>
      </c>
      <c r="B255" s="80">
        <v>3387</v>
      </c>
      <c r="C255" s="80">
        <v>336</v>
      </c>
      <c r="D255" s="80" t="s">
        <v>80</v>
      </c>
      <c r="E255" s="80" t="s">
        <v>198</v>
      </c>
      <c r="F255" s="81">
        <v>0</v>
      </c>
      <c r="G255" s="81">
        <v>0</v>
      </c>
      <c r="H255" s="81">
        <v>0</v>
      </c>
      <c r="I255" s="81">
        <v>0</v>
      </c>
      <c r="J255" s="81">
        <v>0</v>
      </c>
      <c r="K255" s="338" t="e">
        <f>SUMIFS(#REF!,#REF!,MLS!A255)</f>
        <v>#REF!</v>
      </c>
      <c r="L255" s="338" t="e">
        <f>SUMIFS(#REF!,#REF!,MLS!A255)</f>
        <v>#REF!</v>
      </c>
      <c r="M255" s="81">
        <v>0</v>
      </c>
      <c r="N255" s="81">
        <f ca="1">SUMIF(TB_Convert!$A$4:$K$86,MLS!E255,TB_Convert!$K$4:$K$86)</f>
        <v>0</v>
      </c>
      <c r="O255" s="89" t="str">
        <f t="shared" si="97"/>
        <v>H</v>
      </c>
    </row>
    <row r="256" spans="1:15" x14ac:dyDescent="0.2">
      <c r="A256" s="68">
        <v>337001</v>
      </c>
      <c r="B256" s="77">
        <v>1385</v>
      </c>
      <c r="C256" s="77">
        <v>337</v>
      </c>
      <c r="D256" s="77" t="s">
        <v>263</v>
      </c>
      <c r="E256" s="77" t="s">
        <v>264</v>
      </c>
      <c r="F256" s="78">
        <v>0</v>
      </c>
      <c r="G256" s="78">
        <v>0</v>
      </c>
      <c r="H256" s="78">
        <v>0</v>
      </c>
      <c r="I256" s="78">
        <v>0</v>
      </c>
      <c r="J256" s="78">
        <v>0</v>
      </c>
      <c r="K256" s="78" t="e">
        <f>SUMIFS(#REF!,#REF!,MLS!A256)</f>
        <v>#REF!</v>
      </c>
      <c r="L256" s="78" t="e">
        <f>SUMIFS(#REF!,#REF!,MLS!A256)</f>
        <v>#REF!</v>
      </c>
      <c r="M256" s="78">
        <v>0</v>
      </c>
      <c r="N256" s="78">
        <f>ROUND(SUMIFS(TB_Convert!M:M,TB_Convert!A:A,A256),0)</f>
        <v>0</v>
      </c>
      <c r="O256" s="89" t="str">
        <f t="shared" si="97"/>
        <v>H</v>
      </c>
    </row>
    <row r="257" spans="1:15" x14ac:dyDescent="0.2">
      <c r="A257" s="68">
        <v>337002</v>
      </c>
      <c r="B257" s="77">
        <v>1388</v>
      </c>
      <c r="C257" s="77">
        <v>337</v>
      </c>
      <c r="D257" s="77" t="s">
        <v>703</v>
      </c>
      <c r="E257" s="77" t="s">
        <v>266</v>
      </c>
      <c r="F257" s="78">
        <v>0</v>
      </c>
      <c r="G257" s="78">
        <v>0</v>
      </c>
      <c r="H257" s="78">
        <v>0</v>
      </c>
      <c r="I257" s="78">
        <v>0</v>
      </c>
      <c r="J257" s="78">
        <v>0</v>
      </c>
      <c r="K257" s="78" t="e">
        <f>SUMIFS(#REF!,#REF!,MLS!A257)</f>
        <v>#REF!</v>
      </c>
      <c r="L257" s="78" t="e">
        <f>SUMIFS(#REF!,#REF!,MLS!A257)</f>
        <v>#REF!</v>
      </c>
      <c r="M257" s="78">
        <v>0</v>
      </c>
      <c r="N257" s="78">
        <f>ROUND(SUMIFS(TB_Convert!M:M,TB_Convert!A:A,A257),0)</f>
        <v>0</v>
      </c>
      <c r="O257" s="89" t="str">
        <f t="shared" si="97"/>
        <v>H</v>
      </c>
    </row>
    <row r="258" spans="1:15" x14ac:dyDescent="0.2">
      <c r="A258" s="68">
        <v>337003</v>
      </c>
      <c r="B258" s="77">
        <v>338</v>
      </c>
      <c r="C258" s="77">
        <v>337</v>
      </c>
      <c r="D258" s="77" t="s">
        <v>704</v>
      </c>
      <c r="E258" s="77" t="s">
        <v>268</v>
      </c>
      <c r="F258" s="78">
        <v>0</v>
      </c>
      <c r="G258" s="78">
        <v>0</v>
      </c>
      <c r="H258" s="78">
        <v>0</v>
      </c>
      <c r="I258" s="78">
        <v>0</v>
      </c>
      <c r="J258" s="78">
        <v>0</v>
      </c>
      <c r="K258" s="78" t="e">
        <f>SUMIFS(#REF!,#REF!,MLS!A258)</f>
        <v>#REF!</v>
      </c>
      <c r="L258" s="78" t="e">
        <f>SUMIFS(#REF!,#REF!,MLS!A258)</f>
        <v>#REF!</v>
      </c>
      <c r="M258" s="78">
        <v>0</v>
      </c>
      <c r="N258" s="78">
        <f>ROUND(SUMIFS(TB_Convert!M:M,TB_Convert!A:A,A258),0)</f>
        <v>0</v>
      </c>
      <c r="O258" s="89" t="str">
        <f t="shared" si="97"/>
        <v>H</v>
      </c>
    </row>
    <row r="259" spans="1:15" x14ac:dyDescent="0.2">
      <c r="A259" s="68">
        <v>337004</v>
      </c>
      <c r="B259" s="77">
        <v>334</v>
      </c>
      <c r="C259" s="77">
        <v>337</v>
      </c>
      <c r="D259" s="77" t="s">
        <v>427</v>
      </c>
      <c r="E259" s="77" t="s">
        <v>428</v>
      </c>
      <c r="F259" s="78">
        <v>-2682930181694</v>
      </c>
      <c r="G259" s="78">
        <v>0</v>
      </c>
      <c r="H259" s="78">
        <v>0</v>
      </c>
      <c r="I259" s="78">
        <v>-2682930181694</v>
      </c>
      <c r="J259" s="78">
        <v>-2463861108883</v>
      </c>
      <c r="K259" s="78" t="e">
        <f>SUMIFS(#REF!,#REF!,MLS!A259)</f>
        <v>#REF!</v>
      </c>
      <c r="L259" s="78" t="e">
        <f>SUMIFS(#REF!,#REF!,MLS!A259)</f>
        <v>#REF!</v>
      </c>
      <c r="M259" s="78">
        <v>-2463861108883</v>
      </c>
      <c r="N259" s="78">
        <f>ROUND(SUMIFS(TB_Convert!M:M,TB_Convert!A:A,A259),0)</f>
        <v>-4056842168371</v>
      </c>
      <c r="O259" s="89" t="str">
        <f t="shared" si="97"/>
        <v>S</v>
      </c>
    </row>
    <row r="260" spans="1:15" x14ac:dyDescent="0.2">
      <c r="A260" s="80"/>
      <c r="B260" s="80"/>
      <c r="C260" s="80"/>
      <c r="D260" s="80" t="s">
        <v>81</v>
      </c>
      <c r="E260" s="80" t="s">
        <v>199</v>
      </c>
      <c r="F260" s="81">
        <v>-2682930181694</v>
      </c>
      <c r="G260" s="81">
        <v>0</v>
      </c>
      <c r="H260" s="81">
        <v>0</v>
      </c>
      <c r="I260" s="81">
        <v>-2682930181694</v>
      </c>
      <c r="J260" s="81">
        <v>-2463861108883</v>
      </c>
      <c r="K260" s="81" t="e">
        <f t="shared" ref="K260:M260" si="114">SUM(K256:K259)</f>
        <v>#REF!</v>
      </c>
      <c r="L260" s="81" t="e">
        <f t="shared" si="114"/>
        <v>#REF!</v>
      </c>
      <c r="M260" s="81">
        <v>-2463861108883</v>
      </c>
      <c r="N260" s="81">
        <f t="shared" ref="N260" si="115">SUM(N256:N259)</f>
        <v>-4056842168371</v>
      </c>
      <c r="O260" s="89" t="str">
        <f t="shared" si="97"/>
        <v>S</v>
      </c>
    </row>
    <row r="261" spans="1:15" x14ac:dyDescent="0.2">
      <c r="A261" s="68">
        <v>338001</v>
      </c>
      <c r="B261" s="77">
        <v>3411</v>
      </c>
      <c r="C261" s="77">
        <v>338</v>
      </c>
      <c r="D261" s="77" t="s">
        <v>405</v>
      </c>
      <c r="E261" s="77" t="s">
        <v>406</v>
      </c>
      <c r="F261" s="78">
        <v>0</v>
      </c>
      <c r="G261" s="78">
        <v>0</v>
      </c>
      <c r="H261" s="78">
        <v>0</v>
      </c>
      <c r="I261" s="78">
        <v>0</v>
      </c>
      <c r="J261" s="78">
        <v>0</v>
      </c>
      <c r="K261" s="78" t="e">
        <f>SUMIFS(#REF!,#REF!,MLS!A261)</f>
        <v>#REF!</v>
      </c>
      <c r="L261" s="78" t="e">
        <f>SUMIFS(#REF!,#REF!,MLS!A261)</f>
        <v>#REF!</v>
      </c>
      <c r="M261" s="78">
        <v>0</v>
      </c>
      <c r="N261" s="78">
        <f>ROUND(SUMIFS(TB_Convert!M:M,TB_Convert!A:A,A261),0)</f>
        <v>-80000000000</v>
      </c>
      <c r="O261" s="89" t="str">
        <f t="shared" si="97"/>
        <v>H</v>
      </c>
    </row>
    <row r="262" spans="1:15" x14ac:dyDescent="0.2">
      <c r="A262" s="68">
        <v>338002</v>
      </c>
      <c r="B262" s="77">
        <v>3412</v>
      </c>
      <c r="C262" s="77">
        <v>338</v>
      </c>
      <c r="D262" s="77" t="s">
        <v>407</v>
      </c>
      <c r="E262" s="77" t="s">
        <v>408</v>
      </c>
      <c r="F262" s="78">
        <v>0</v>
      </c>
      <c r="G262" s="78">
        <v>0</v>
      </c>
      <c r="H262" s="78">
        <v>0</v>
      </c>
      <c r="I262" s="78">
        <v>0</v>
      </c>
      <c r="J262" s="78">
        <v>0</v>
      </c>
      <c r="K262" s="78" t="e">
        <f>SUMIFS(#REF!,#REF!,MLS!A262)</f>
        <v>#REF!</v>
      </c>
      <c r="L262" s="78" t="e">
        <f>SUMIFS(#REF!,#REF!,MLS!A262)</f>
        <v>#REF!</v>
      </c>
      <c r="M262" s="78">
        <v>0</v>
      </c>
      <c r="N262" s="78">
        <f>ROUND(SUMIFS(TB_Convert!M:M,TB_Convert!A:A,A262),0)</f>
        <v>0</v>
      </c>
      <c r="O262" s="89" t="str">
        <f t="shared" si="97"/>
        <v>H</v>
      </c>
    </row>
    <row r="263" spans="1:15" x14ac:dyDescent="0.2">
      <c r="A263" s="68">
        <v>338003</v>
      </c>
      <c r="B263" s="77">
        <v>34311</v>
      </c>
      <c r="C263" s="77">
        <v>338</v>
      </c>
      <c r="D263" s="77" t="s">
        <v>409</v>
      </c>
      <c r="E263" s="77" t="s">
        <v>410</v>
      </c>
      <c r="F263" s="78">
        <v>0</v>
      </c>
      <c r="G263" s="78">
        <v>0</v>
      </c>
      <c r="H263" s="78">
        <v>0</v>
      </c>
      <c r="I263" s="78">
        <v>0</v>
      </c>
      <c r="J263" s="78">
        <v>0</v>
      </c>
      <c r="K263" s="78" t="e">
        <f>SUMIFS(#REF!,#REF!,MLS!A263)</f>
        <v>#REF!</v>
      </c>
      <c r="L263" s="78" t="e">
        <f>SUMIFS(#REF!,#REF!,MLS!A263)</f>
        <v>#REF!</v>
      </c>
      <c r="M263" s="78">
        <v>0</v>
      </c>
      <c r="N263" s="78">
        <f>ROUND(SUMIFS(TB_Convert!M:M,TB_Convert!A:A,A263),0)</f>
        <v>0</v>
      </c>
      <c r="O263" s="89" t="str">
        <f t="shared" si="97"/>
        <v>H</v>
      </c>
    </row>
    <row r="264" spans="1:15" x14ac:dyDescent="0.2">
      <c r="A264" s="68">
        <v>338004</v>
      </c>
      <c r="B264" s="77">
        <v>34312</v>
      </c>
      <c r="C264" s="77">
        <v>338</v>
      </c>
      <c r="D264" s="77" t="s">
        <v>429</v>
      </c>
      <c r="E264" s="77" t="s">
        <v>430</v>
      </c>
      <c r="F264" s="78">
        <v>0</v>
      </c>
      <c r="G264" s="78">
        <v>0</v>
      </c>
      <c r="H264" s="78">
        <v>0</v>
      </c>
      <c r="I264" s="78">
        <v>0</v>
      </c>
      <c r="J264" s="78">
        <v>0</v>
      </c>
      <c r="K264" s="78" t="e">
        <f>SUMIFS(#REF!,#REF!,MLS!A264)</f>
        <v>#REF!</v>
      </c>
      <c r="L264" s="78" t="e">
        <f>SUMIFS(#REF!,#REF!,MLS!A264)</f>
        <v>#REF!</v>
      </c>
      <c r="M264" s="78">
        <v>0</v>
      </c>
      <c r="N264" s="78">
        <f>ROUND(SUMIFS(TB_Convert!M:M,TB_Convert!A:A,A264),0)</f>
        <v>0</v>
      </c>
      <c r="O264" s="89" t="str">
        <f t="shared" si="97"/>
        <v>H</v>
      </c>
    </row>
    <row r="265" spans="1:15" x14ac:dyDescent="0.2">
      <c r="A265" s="68">
        <v>338005</v>
      </c>
      <c r="B265" s="77">
        <v>34313</v>
      </c>
      <c r="C265" s="77">
        <v>338</v>
      </c>
      <c r="D265" s="77" t="s">
        <v>431</v>
      </c>
      <c r="E265" s="77" t="s">
        <v>432</v>
      </c>
      <c r="F265" s="78">
        <v>0</v>
      </c>
      <c r="G265" s="78">
        <v>0</v>
      </c>
      <c r="H265" s="78">
        <v>0</v>
      </c>
      <c r="I265" s="78">
        <v>0</v>
      </c>
      <c r="J265" s="78">
        <v>0</v>
      </c>
      <c r="K265" s="78" t="e">
        <f>SUMIFS(#REF!,#REF!,MLS!A265)</f>
        <v>#REF!</v>
      </c>
      <c r="L265" s="78" t="e">
        <f>SUMIFS(#REF!,#REF!,MLS!A265)</f>
        <v>#REF!</v>
      </c>
      <c r="M265" s="78">
        <v>0</v>
      </c>
      <c r="N265" s="78">
        <f>ROUND(SUMIFS(TB_Convert!M:M,TB_Convert!A:A,A265),0)</f>
        <v>0</v>
      </c>
      <c r="O265" s="89" t="str">
        <f t="shared" ref="O265:O328" si="116">IF(SUM(F265:J265)=0,"H","S")</f>
        <v>H</v>
      </c>
    </row>
    <row r="266" spans="1:15" x14ac:dyDescent="0.2">
      <c r="A266" s="80"/>
      <c r="B266" s="80"/>
      <c r="C266" s="80"/>
      <c r="D266" s="80" t="s">
        <v>82</v>
      </c>
      <c r="E266" s="80" t="s">
        <v>200</v>
      </c>
      <c r="F266" s="81">
        <v>0</v>
      </c>
      <c r="G266" s="81">
        <v>0</v>
      </c>
      <c r="H266" s="81">
        <v>0</v>
      </c>
      <c r="I266" s="81">
        <v>0</v>
      </c>
      <c r="J266" s="81">
        <v>0</v>
      </c>
      <c r="K266" s="81" t="e">
        <f t="shared" ref="K266:M266" si="117">SUM(K261:K265)</f>
        <v>#REF!</v>
      </c>
      <c r="L266" s="81" t="e">
        <f t="shared" si="117"/>
        <v>#REF!</v>
      </c>
      <c r="M266" s="81">
        <v>0</v>
      </c>
      <c r="N266" s="81">
        <f t="shared" ref="N266" si="118">SUM(N261:N265)</f>
        <v>-80000000000</v>
      </c>
      <c r="O266" s="89" t="str">
        <f t="shared" si="116"/>
        <v>H</v>
      </c>
    </row>
    <row r="267" spans="1:15" x14ac:dyDescent="0.2">
      <c r="A267" s="80">
        <v>339001</v>
      </c>
      <c r="B267" s="80">
        <v>3432</v>
      </c>
      <c r="C267" s="80">
        <v>339</v>
      </c>
      <c r="D267" s="80" t="s">
        <v>83</v>
      </c>
      <c r="E267" s="80" t="s">
        <v>201</v>
      </c>
      <c r="F267" s="81">
        <v>0</v>
      </c>
      <c r="G267" s="81">
        <v>0</v>
      </c>
      <c r="H267" s="81">
        <v>0</v>
      </c>
      <c r="I267" s="81">
        <v>0</v>
      </c>
      <c r="J267" s="81">
        <v>0</v>
      </c>
      <c r="K267" s="338" t="e">
        <f>SUMIFS(#REF!,#REF!,MLS!A267)</f>
        <v>#REF!</v>
      </c>
      <c r="L267" s="338" t="e">
        <f>SUMIFS(#REF!,#REF!,MLS!A267)</f>
        <v>#REF!</v>
      </c>
      <c r="M267" s="81">
        <v>0</v>
      </c>
      <c r="N267" s="81">
        <f ca="1">SUMIF(TB_Convert!$A$4:$K$86,MLS!E267,TB_Convert!$K$4:$K$86)</f>
        <v>0</v>
      </c>
      <c r="O267" s="89" t="str">
        <f t="shared" si="116"/>
        <v>H</v>
      </c>
    </row>
    <row r="268" spans="1:15" x14ac:dyDescent="0.2">
      <c r="A268" s="80">
        <v>340001</v>
      </c>
      <c r="B268" s="80">
        <v>41112</v>
      </c>
      <c r="C268" s="80">
        <v>340</v>
      </c>
      <c r="D268" s="80" t="s">
        <v>84</v>
      </c>
      <c r="E268" s="80" t="s">
        <v>202</v>
      </c>
      <c r="F268" s="81">
        <v>0</v>
      </c>
      <c r="G268" s="81">
        <v>0</v>
      </c>
      <c r="H268" s="81">
        <v>0</v>
      </c>
      <c r="I268" s="81">
        <v>0</v>
      </c>
      <c r="J268" s="81">
        <v>0</v>
      </c>
      <c r="K268" s="338" t="e">
        <f>SUMIFS(#REF!,#REF!,MLS!A268)</f>
        <v>#REF!</v>
      </c>
      <c r="L268" s="338" t="e">
        <f>SUMIFS(#REF!,#REF!,MLS!A268)</f>
        <v>#REF!</v>
      </c>
      <c r="M268" s="81">
        <v>0</v>
      </c>
      <c r="N268" s="81">
        <f ca="1">SUMIF(TB_Convert!$A$4:$K$86,MLS!E268,TB_Convert!$K$4:$K$86)</f>
        <v>0</v>
      </c>
      <c r="O268" s="89" t="str">
        <f t="shared" si="116"/>
        <v>H</v>
      </c>
    </row>
    <row r="269" spans="1:15" x14ac:dyDescent="0.2">
      <c r="A269" s="80">
        <v>341001</v>
      </c>
      <c r="B269" s="80">
        <v>347</v>
      </c>
      <c r="C269" s="80">
        <v>341</v>
      </c>
      <c r="D269" s="80" t="s">
        <v>85</v>
      </c>
      <c r="E269" s="80" t="s">
        <v>203</v>
      </c>
      <c r="F269" s="81">
        <v>0</v>
      </c>
      <c r="G269" s="81">
        <v>0</v>
      </c>
      <c r="H269" s="81">
        <v>0</v>
      </c>
      <c r="I269" s="81">
        <v>0</v>
      </c>
      <c r="J269" s="81">
        <v>0</v>
      </c>
      <c r="K269" s="338" t="e">
        <f>SUMIFS(#REF!,#REF!,MLS!A269)</f>
        <v>#REF!</v>
      </c>
      <c r="L269" s="338" t="e">
        <f>SUMIFS(#REF!,#REF!,MLS!A269)</f>
        <v>#REF!</v>
      </c>
      <c r="M269" s="81">
        <v>0</v>
      </c>
      <c r="N269" s="81">
        <f ca="1">SUMIF(TB_Convert!$A$4:$K$86,MLS!E269,TB_Convert!$K$4:$K$86)</f>
        <v>0</v>
      </c>
      <c r="O269" s="89" t="str">
        <f t="shared" si="116"/>
        <v>H</v>
      </c>
    </row>
    <row r="270" spans="1:15" x14ac:dyDescent="0.2">
      <c r="A270" s="68">
        <v>342001</v>
      </c>
      <c r="B270" s="87">
        <v>3521</v>
      </c>
      <c r="C270" s="77">
        <v>342</v>
      </c>
      <c r="D270" s="87" t="s">
        <v>411</v>
      </c>
      <c r="E270" s="87" t="s">
        <v>412</v>
      </c>
      <c r="F270" s="78">
        <v>0</v>
      </c>
      <c r="G270" s="78">
        <v>0</v>
      </c>
      <c r="H270" s="78">
        <v>0</v>
      </c>
      <c r="I270" s="78">
        <v>0</v>
      </c>
      <c r="J270" s="78">
        <v>0</v>
      </c>
      <c r="K270" s="78" t="e">
        <f>SUMIFS(#REF!,#REF!,MLS!A270)</f>
        <v>#REF!</v>
      </c>
      <c r="L270" s="78" t="e">
        <f>SUMIFS(#REF!,#REF!,MLS!A270)</f>
        <v>#REF!</v>
      </c>
      <c r="M270" s="78">
        <v>0</v>
      </c>
      <c r="N270" s="78">
        <f>ROUND(SUMIFS(TB_Convert!M:M,TB_Convert!A:A,A270),0)</f>
        <v>0</v>
      </c>
      <c r="O270" s="89" t="str">
        <f t="shared" si="116"/>
        <v>H</v>
      </c>
    </row>
    <row r="271" spans="1:15" x14ac:dyDescent="0.2">
      <c r="A271" s="68">
        <v>342002</v>
      </c>
      <c r="B271" s="87">
        <v>3522</v>
      </c>
      <c r="C271" s="77">
        <v>342</v>
      </c>
      <c r="D271" s="87" t="s">
        <v>413</v>
      </c>
      <c r="E271" s="87" t="s">
        <v>414</v>
      </c>
      <c r="F271" s="78">
        <v>0</v>
      </c>
      <c r="G271" s="78">
        <v>0</v>
      </c>
      <c r="H271" s="78">
        <v>0</v>
      </c>
      <c r="I271" s="78">
        <v>0</v>
      </c>
      <c r="J271" s="78">
        <v>0</v>
      </c>
      <c r="K271" s="78" t="e">
        <f>SUMIFS(#REF!,#REF!,MLS!A271)</f>
        <v>#REF!</v>
      </c>
      <c r="L271" s="78" t="e">
        <f>SUMIFS(#REF!,#REF!,MLS!A271)</f>
        <v>#REF!</v>
      </c>
      <c r="M271" s="78">
        <v>0</v>
      </c>
      <c r="N271" s="78">
        <f>ROUND(SUMIFS(TB_Convert!M:M,TB_Convert!A:A,A271),0)</f>
        <v>0</v>
      </c>
      <c r="O271" s="89" t="str">
        <f t="shared" si="116"/>
        <v>H</v>
      </c>
    </row>
    <row r="272" spans="1:15" x14ac:dyDescent="0.2">
      <c r="A272" s="68">
        <v>342003</v>
      </c>
      <c r="B272" s="87">
        <v>3523</v>
      </c>
      <c r="C272" s="77">
        <v>342</v>
      </c>
      <c r="D272" s="87" t="s">
        <v>415</v>
      </c>
      <c r="E272" s="87" t="s">
        <v>416</v>
      </c>
      <c r="F272" s="78">
        <v>0</v>
      </c>
      <c r="G272" s="78">
        <v>0</v>
      </c>
      <c r="H272" s="78">
        <v>0</v>
      </c>
      <c r="I272" s="78">
        <v>0</v>
      </c>
      <c r="J272" s="78">
        <v>0</v>
      </c>
      <c r="K272" s="78" t="e">
        <f>SUMIFS(#REF!,#REF!,MLS!A272)</f>
        <v>#REF!</v>
      </c>
      <c r="L272" s="78" t="e">
        <f>SUMIFS(#REF!,#REF!,MLS!A272)</f>
        <v>#REF!</v>
      </c>
      <c r="M272" s="78">
        <v>0</v>
      </c>
      <c r="N272" s="78">
        <f>ROUND(SUMIFS(TB_Convert!M:M,TB_Convert!A:A,A272),0)</f>
        <v>0</v>
      </c>
      <c r="O272" s="89" t="str">
        <f t="shared" si="116"/>
        <v>H</v>
      </c>
    </row>
    <row r="273" spans="1:17" x14ac:dyDescent="0.2">
      <c r="A273" s="68">
        <v>342004</v>
      </c>
      <c r="B273" s="87">
        <v>3524</v>
      </c>
      <c r="C273" s="77">
        <v>342</v>
      </c>
      <c r="D273" s="87" t="s">
        <v>417</v>
      </c>
      <c r="E273" s="87" t="s">
        <v>418</v>
      </c>
      <c r="F273" s="78">
        <v>0</v>
      </c>
      <c r="G273" s="78">
        <v>0</v>
      </c>
      <c r="H273" s="78">
        <v>0</v>
      </c>
      <c r="I273" s="78">
        <v>0</v>
      </c>
      <c r="J273" s="78">
        <v>0</v>
      </c>
      <c r="K273" s="78" t="e">
        <f>SUMIFS(#REF!,#REF!,MLS!A273)</f>
        <v>#REF!</v>
      </c>
      <c r="L273" s="78" t="e">
        <f>SUMIFS(#REF!,#REF!,MLS!A273)</f>
        <v>#REF!</v>
      </c>
      <c r="M273" s="78">
        <v>0</v>
      </c>
      <c r="N273" s="78">
        <f>ROUND(SUMIFS(TB_Convert!M:M,TB_Convert!A:A,A273),0)</f>
        <v>0</v>
      </c>
      <c r="O273" s="89" t="str">
        <f t="shared" si="116"/>
        <v>H</v>
      </c>
    </row>
    <row r="274" spans="1:17" x14ac:dyDescent="0.2">
      <c r="A274" s="80"/>
      <c r="B274" s="80"/>
      <c r="C274" s="80"/>
      <c r="D274" s="80" t="s">
        <v>86</v>
      </c>
      <c r="E274" s="80" t="s">
        <v>204</v>
      </c>
      <c r="F274" s="81">
        <v>0</v>
      </c>
      <c r="G274" s="81">
        <v>0</v>
      </c>
      <c r="H274" s="81">
        <v>0</v>
      </c>
      <c r="I274" s="81">
        <v>0</v>
      </c>
      <c r="J274" s="81">
        <v>0</v>
      </c>
      <c r="K274" s="81" t="e">
        <f t="shared" ref="K274:M274" si="119">SUM(K270:K273)</f>
        <v>#REF!</v>
      </c>
      <c r="L274" s="81" t="e">
        <f t="shared" si="119"/>
        <v>#REF!</v>
      </c>
      <c r="M274" s="81">
        <v>0</v>
      </c>
      <c r="N274" s="81">
        <f t="shared" ref="N274" si="120">SUM(N270:N273)</f>
        <v>0</v>
      </c>
      <c r="O274" s="89" t="str">
        <f t="shared" si="116"/>
        <v>H</v>
      </c>
    </row>
    <row r="275" spans="1:17" s="89" customFormat="1" x14ac:dyDescent="0.2">
      <c r="A275" s="89">
        <v>343001</v>
      </c>
      <c r="B275" s="87">
        <v>3561</v>
      </c>
      <c r="C275" s="77">
        <v>343</v>
      </c>
      <c r="D275" s="87" t="s">
        <v>87</v>
      </c>
      <c r="E275" s="87" t="s">
        <v>205</v>
      </c>
      <c r="F275" s="88">
        <v>0</v>
      </c>
      <c r="G275" s="88">
        <v>0</v>
      </c>
      <c r="H275" s="88">
        <v>0</v>
      </c>
      <c r="I275" s="88">
        <v>0</v>
      </c>
      <c r="J275" s="88">
        <v>0</v>
      </c>
      <c r="K275" s="78" t="e">
        <f>SUMIFS(#REF!,#REF!,MLS!A275)</f>
        <v>#REF!</v>
      </c>
      <c r="L275" s="78" t="e">
        <f>SUMIFS(#REF!,#REF!,MLS!A275)</f>
        <v>#REF!</v>
      </c>
      <c r="M275" s="88">
        <v>0</v>
      </c>
      <c r="N275" s="88">
        <f>ROUND(SUMIFS(TB_Convert!M:M,TB_Convert!A:A,A275),0)</f>
        <v>0</v>
      </c>
      <c r="O275" s="89" t="str">
        <f t="shared" si="116"/>
        <v>H</v>
      </c>
    </row>
    <row r="276" spans="1:17" s="89" customFormat="1" x14ac:dyDescent="0.2">
      <c r="A276" s="89">
        <v>343002</v>
      </c>
      <c r="B276" s="87">
        <v>3562</v>
      </c>
      <c r="C276" s="77">
        <v>343</v>
      </c>
      <c r="D276" s="87" t="s">
        <v>433</v>
      </c>
      <c r="E276" s="87" t="s">
        <v>434</v>
      </c>
      <c r="F276" s="88">
        <v>0</v>
      </c>
      <c r="G276" s="88">
        <v>0</v>
      </c>
      <c r="H276" s="88">
        <v>0</v>
      </c>
      <c r="I276" s="88">
        <v>0</v>
      </c>
      <c r="J276" s="88">
        <v>0</v>
      </c>
      <c r="K276" s="78" t="e">
        <f>SUMIFS(#REF!,#REF!,MLS!A276)</f>
        <v>#REF!</v>
      </c>
      <c r="L276" s="78" t="e">
        <f>SUMIFS(#REF!,#REF!,MLS!A276)</f>
        <v>#REF!</v>
      </c>
      <c r="M276" s="88">
        <v>0</v>
      </c>
      <c r="N276" s="88">
        <f>ROUND(SUMIFS(TB_Convert!M:M,TB_Convert!A:A,A276),0)</f>
        <v>0</v>
      </c>
      <c r="O276" s="89" t="str">
        <f t="shared" si="116"/>
        <v>H</v>
      </c>
    </row>
    <row r="277" spans="1:17" x14ac:dyDescent="0.2">
      <c r="A277" s="80"/>
      <c r="B277" s="80"/>
      <c r="C277" s="80"/>
      <c r="D277" s="80" t="s">
        <v>87</v>
      </c>
      <c r="E277" s="80" t="s">
        <v>205</v>
      </c>
      <c r="F277" s="81">
        <v>0</v>
      </c>
      <c r="G277" s="81">
        <v>0</v>
      </c>
      <c r="H277" s="81">
        <v>0</v>
      </c>
      <c r="I277" s="81">
        <v>0</v>
      </c>
      <c r="J277" s="81">
        <v>0</v>
      </c>
      <c r="K277" s="81" t="e">
        <f t="shared" ref="K277:M277" si="121">SUM(K275:K276)</f>
        <v>#REF!</v>
      </c>
      <c r="L277" s="81" t="e">
        <f t="shared" si="121"/>
        <v>#REF!</v>
      </c>
      <c r="M277" s="81">
        <v>0</v>
      </c>
      <c r="N277" s="81">
        <f t="shared" ref="N277" si="122">SUM(N275:N276)</f>
        <v>0</v>
      </c>
      <c r="O277" s="89" t="str">
        <f t="shared" si="116"/>
        <v>H</v>
      </c>
    </row>
    <row r="278" spans="1:17" x14ac:dyDescent="0.2">
      <c r="A278" s="93"/>
      <c r="B278" s="93"/>
      <c r="C278" s="93">
        <v>330</v>
      </c>
      <c r="D278" s="93" t="s">
        <v>74</v>
      </c>
      <c r="E278" s="93" t="s">
        <v>192</v>
      </c>
      <c r="F278" s="94">
        <v>-2682930181694</v>
      </c>
      <c r="G278" s="94">
        <v>0</v>
      </c>
      <c r="H278" s="94">
        <v>0</v>
      </c>
      <c r="I278" s="94">
        <v>-2682930181694</v>
      </c>
      <c r="J278" s="94">
        <v>-2463861108883</v>
      </c>
      <c r="K278" s="94" t="e">
        <f t="shared" ref="K278:M278" si="123">SUM(K247:K250,K254:K255,K260,K266:K269,K274,K277)</f>
        <v>#REF!</v>
      </c>
      <c r="L278" s="94" t="e">
        <f t="shared" si="123"/>
        <v>#REF!</v>
      </c>
      <c r="M278" s="94">
        <v>-2463861108883</v>
      </c>
      <c r="N278" s="94">
        <f t="shared" ref="N278" ca="1" si="124">SUM(N247:N250,N254:N255,N260,N266:N269,N274,N277)</f>
        <v>-4136842168371</v>
      </c>
      <c r="O278" s="89" t="str">
        <f t="shared" si="116"/>
        <v>S</v>
      </c>
      <c r="Q278" s="114"/>
    </row>
    <row r="279" spans="1:17" x14ac:dyDescent="0.2">
      <c r="A279" s="115"/>
      <c r="B279" s="115"/>
      <c r="C279" s="115">
        <v>300</v>
      </c>
      <c r="D279" s="115" t="s">
        <v>58</v>
      </c>
      <c r="E279" s="115" t="s">
        <v>176</v>
      </c>
      <c r="F279" s="116">
        <v>-2684287553516</v>
      </c>
      <c r="G279" s="116">
        <v>0</v>
      </c>
      <c r="H279" s="116">
        <v>-37632295441</v>
      </c>
      <c r="I279" s="116">
        <v>-2721919848957</v>
      </c>
      <c r="J279" s="116">
        <v>-2474757947529</v>
      </c>
      <c r="K279" s="116" t="e">
        <f t="shared" ref="K279:M279" si="125">SUM(K245,K278)</f>
        <v>#REF!</v>
      </c>
      <c r="L279" s="116" t="e">
        <f t="shared" si="125"/>
        <v>#REF!</v>
      </c>
      <c r="M279" s="116">
        <v>-2474835736009</v>
      </c>
      <c r="N279" s="116">
        <f t="shared" ref="N279" ca="1" si="126">SUM(N245,N278)</f>
        <v>-4243456700253</v>
      </c>
      <c r="O279" s="89" t="str">
        <f t="shared" si="116"/>
        <v>S</v>
      </c>
    </row>
    <row r="280" spans="1:17" x14ac:dyDescent="0.2">
      <c r="N280" s="69">
        <f>ROUND(SUMIFS(TB_Convert!M:M,TB_Convert!A:A,A280),0)</f>
        <v>0</v>
      </c>
      <c r="O280" s="89" t="str">
        <f t="shared" si="116"/>
        <v>H</v>
      </c>
    </row>
    <row r="281" spans="1:17" x14ac:dyDescent="0.2">
      <c r="A281" s="68">
        <v>411001</v>
      </c>
      <c r="B281" s="77">
        <v>41111</v>
      </c>
      <c r="C281" s="117" t="s">
        <v>92</v>
      </c>
      <c r="D281" s="77" t="s">
        <v>91</v>
      </c>
      <c r="E281" s="77" t="s">
        <v>437</v>
      </c>
      <c r="F281" s="78">
        <v>-2491460264268</v>
      </c>
      <c r="G281" s="78">
        <v>0</v>
      </c>
      <c r="H281" s="78">
        <v>0</v>
      </c>
      <c r="I281" s="78">
        <v>-2491460264268</v>
      </c>
      <c r="J281" s="78">
        <v>-2491460264268</v>
      </c>
      <c r="K281" s="78" t="e">
        <f>SUMIFS(#REF!,#REF!,MLS!A281)</f>
        <v>#REF!</v>
      </c>
      <c r="L281" s="78" t="e">
        <f>SUMIFS(#REF!,#REF!,MLS!A281)</f>
        <v>#REF!</v>
      </c>
      <c r="M281" s="78">
        <v>-2491460264268</v>
      </c>
      <c r="N281" s="78">
        <f>ROUND(SUMIFS(TB_Convert!M:M,TB_Convert!A:A,A281),0)</f>
        <v>-3333889810736</v>
      </c>
      <c r="O281" s="89" t="str">
        <f t="shared" si="116"/>
        <v>S</v>
      </c>
    </row>
    <row r="282" spans="1:17" x14ac:dyDescent="0.2">
      <c r="A282" s="68">
        <v>411002</v>
      </c>
      <c r="B282" s="77">
        <v>41112</v>
      </c>
      <c r="C282" s="117" t="s">
        <v>93</v>
      </c>
      <c r="D282" s="77" t="s">
        <v>84</v>
      </c>
      <c r="E282" s="77" t="s">
        <v>202</v>
      </c>
      <c r="F282" s="78">
        <v>0</v>
      </c>
      <c r="G282" s="78">
        <v>0</v>
      </c>
      <c r="H282" s="78">
        <v>0</v>
      </c>
      <c r="I282" s="78">
        <v>0</v>
      </c>
      <c r="J282" s="78">
        <v>0</v>
      </c>
      <c r="K282" s="78" t="e">
        <f>SUMIFS(#REF!,#REF!,MLS!A282)</f>
        <v>#REF!</v>
      </c>
      <c r="L282" s="78" t="e">
        <f>SUMIFS(#REF!,#REF!,MLS!A282)</f>
        <v>#REF!</v>
      </c>
      <c r="M282" s="78">
        <v>0</v>
      </c>
      <c r="N282" s="78">
        <f>ROUND(SUMIFS(TB_Convert!M:M,TB_Convert!A:A,A282),0)</f>
        <v>0</v>
      </c>
      <c r="O282" s="89" t="str">
        <f t="shared" si="116"/>
        <v>H</v>
      </c>
    </row>
    <row r="283" spans="1:17" x14ac:dyDescent="0.2">
      <c r="A283" s="118"/>
      <c r="B283" s="118"/>
      <c r="C283" s="80">
        <v>411</v>
      </c>
      <c r="D283" s="80" t="s">
        <v>435</v>
      </c>
      <c r="E283" s="80" t="s">
        <v>436</v>
      </c>
      <c r="F283" s="81">
        <v>-2491460264268</v>
      </c>
      <c r="G283" s="81">
        <v>0</v>
      </c>
      <c r="H283" s="81">
        <v>0</v>
      </c>
      <c r="I283" s="81">
        <v>-2491460264268</v>
      </c>
      <c r="J283" s="81">
        <v>-2491460264268</v>
      </c>
      <c r="K283" s="81" t="e">
        <f t="shared" ref="K283:M283" si="127">SUM(K281:K282)</f>
        <v>#REF!</v>
      </c>
      <c r="L283" s="81" t="e">
        <f t="shared" si="127"/>
        <v>#REF!</v>
      </c>
      <c r="M283" s="81">
        <v>-2491460264268</v>
      </c>
      <c r="N283" s="81">
        <f t="shared" ref="N283" si="128">SUM(N281:N282)</f>
        <v>-3333889810736</v>
      </c>
      <c r="O283" s="89" t="str">
        <f t="shared" si="116"/>
        <v>S</v>
      </c>
    </row>
    <row r="284" spans="1:17" x14ac:dyDescent="0.2">
      <c r="A284" s="80">
        <v>412001</v>
      </c>
      <c r="B284" s="80">
        <v>4112</v>
      </c>
      <c r="C284" s="80">
        <v>412</v>
      </c>
      <c r="D284" s="80" t="s">
        <v>94</v>
      </c>
      <c r="E284" s="80" t="s">
        <v>215</v>
      </c>
      <c r="F284" s="81">
        <v>0</v>
      </c>
      <c r="G284" s="81">
        <v>0</v>
      </c>
      <c r="H284" s="81">
        <v>0</v>
      </c>
      <c r="I284" s="81">
        <v>0</v>
      </c>
      <c r="J284" s="81">
        <v>0</v>
      </c>
      <c r="K284" s="338" t="e">
        <f>SUMIFS(#REF!,#REF!,MLS!A284)</f>
        <v>#REF!</v>
      </c>
      <c r="L284" s="338" t="e">
        <f>SUMIFS(#REF!,#REF!,MLS!A284)</f>
        <v>#REF!</v>
      </c>
      <c r="M284" s="81">
        <v>0</v>
      </c>
      <c r="N284" s="81">
        <f>ROUND(SUMIFS(TB_Convert!M:M,TB_Convert!A:A,A284),0)</f>
        <v>0</v>
      </c>
      <c r="O284" s="89" t="str">
        <f t="shared" si="116"/>
        <v>H</v>
      </c>
    </row>
    <row r="285" spans="1:17" x14ac:dyDescent="0.2">
      <c r="A285" s="80">
        <v>413001</v>
      </c>
      <c r="B285" s="80">
        <v>4113</v>
      </c>
      <c r="C285" s="80">
        <v>413</v>
      </c>
      <c r="D285" s="80" t="s">
        <v>95</v>
      </c>
      <c r="E285" s="80" t="s">
        <v>216</v>
      </c>
      <c r="F285" s="81">
        <v>0</v>
      </c>
      <c r="G285" s="81">
        <v>0</v>
      </c>
      <c r="H285" s="81">
        <v>0</v>
      </c>
      <c r="I285" s="81">
        <v>0</v>
      </c>
      <c r="J285" s="81">
        <v>0</v>
      </c>
      <c r="K285" s="338" t="e">
        <f>SUMIFS(#REF!,#REF!,MLS!A285)</f>
        <v>#REF!</v>
      </c>
      <c r="L285" s="338" t="e">
        <f>SUMIFS(#REF!,#REF!,MLS!A285)</f>
        <v>#REF!</v>
      </c>
      <c r="M285" s="81">
        <v>0</v>
      </c>
      <c r="N285" s="81">
        <f>ROUND(SUMIFS(TB_Convert!M:M,TB_Convert!A:A,A285),0)</f>
        <v>0</v>
      </c>
      <c r="O285" s="89" t="str">
        <f t="shared" si="116"/>
        <v>H</v>
      </c>
    </row>
    <row r="286" spans="1:17" x14ac:dyDescent="0.2">
      <c r="A286" s="80">
        <v>414001</v>
      </c>
      <c r="B286" s="80">
        <v>4118</v>
      </c>
      <c r="C286" s="80">
        <v>414</v>
      </c>
      <c r="D286" s="80" t="s">
        <v>96</v>
      </c>
      <c r="E286" s="80" t="s">
        <v>217</v>
      </c>
      <c r="F286" s="81">
        <v>-842429546468</v>
      </c>
      <c r="G286" s="81">
        <v>0</v>
      </c>
      <c r="H286" s="81">
        <v>0</v>
      </c>
      <c r="I286" s="81">
        <v>-842429546468</v>
      </c>
      <c r="J286" s="81">
        <v>-842429546468</v>
      </c>
      <c r="K286" s="338" t="e">
        <f>SUMIFS(#REF!,#REF!,MLS!A286)</f>
        <v>#REF!</v>
      </c>
      <c r="L286" s="338" t="e">
        <f>SUMIFS(#REF!,#REF!,MLS!A286)</f>
        <v>#REF!</v>
      </c>
      <c r="M286" s="81">
        <v>-842429546468</v>
      </c>
      <c r="N286" s="81">
        <f>ROUND(SUMIFS(TB_Convert!M:M,TB_Convert!A:A,A286),0)</f>
        <v>0</v>
      </c>
      <c r="O286" s="89" t="str">
        <f t="shared" si="116"/>
        <v>S</v>
      </c>
      <c r="P286" s="68">
        <v>842429546468</v>
      </c>
      <c r="Q286" s="114">
        <f>P286+M286</f>
        <v>0</v>
      </c>
    </row>
    <row r="287" spans="1:17" x14ac:dyDescent="0.2">
      <c r="A287" s="80">
        <v>415001</v>
      </c>
      <c r="B287" s="80">
        <v>419</v>
      </c>
      <c r="C287" s="80">
        <v>415</v>
      </c>
      <c r="D287" s="80" t="s">
        <v>97</v>
      </c>
      <c r="E287" s="80" t="s">
        <v>218</v>
      </c>
      <c r="F287" s="81">
        <v>0</v>
      </c>
      <c r="G287" s="81">
        <v>0</v>
      </c>
      <c r="H287" s="81">
        <v>0</v>
      </c>
      <c r="I287" s="81">
        <v>0</v>
      </c>
      <c r="J287" s="81">
        <v>0</v>
      </c>
      <c r="K287" s="338" t="e">
        <f>SUMIFS(#REF!,#REF!,MLS!A287)</f>
        <v>#REF!</v>
      </c>
      <c r="L287" s="338" t="e">
        <f>SUMIFS(#REF!,#REF!,MLS!A287)</f>
        <v>#REF!</v>
      </c>
      <c r="M287" s="81">
        <v>0</v>
      </c>
      <c r="N287" s="81">
        <f>ROUND(SUMIFS(TB_Convert!M:M,TB_Convert!A:A,A287),0)</f>
        <v>0</v>
      </c>
      <c r="O287" s="89" t="str">
        <f t="shared" si="116"/>
        <v>H</v>
      </c>
    </row>
    <row r="288" spans="1:17" x14ac:dyDescent="0.2">
      <c r="A288" s="80">
        <v>416001</v>
      </c>
      <c r="B288" s="80">
        <v>412</v>
      </c>
      <c r="C288" s="80">
        <v>416</v>
      </c>
      <c r="D288" s="80" t="s">
        <v>98</v>
      </c>
      <c r="E288" s="80" t="s">
        <v>219</v>
      </c>
      <c r="F288" s="81">
        <v>0</v>
      </c>
      <c r="G288" s="81">
        <v>0</v>
      </c>
      <c r="H288" s="81">
        <v>0</v>
      </c>
      <c r="I288" s="81">
        <v>0</v>
      </c>
      <c r="J288" s="81">
        <v>0</v>
      </c>
      <c r="K288" s="338" t="e">
        <f>SUMIFS(#REF!,#REF!,MLS!A288)</f>
        <v>#REF!</v>
      </c>
      <c r="L288" s="338" t="e">
        <f>SUMIFS(#REF!,#REF!,MLS!A288)</f>
        <v>#REF!</v>
      </c>
      <c r="M288" s="81">
        <v>0</v>
      </c>
      <c r="N288" s="81">
        <f>ROUND(SUMIFS(TB_Convert!M:M,TB_Convert!A:A,A288),0)</f>
        <v>0</v>
      </c>
      <c r="O288" s="89" t="str">
        <f t="shared" si="116"/>
        <v>H</v>
      </c>
    </row>
    <row r="289" spans="1:15" x14ac:dyDescent="0.2">
      <c r="A289" s="68">
        <v>417001</v>
      </c>
      <c r="B289" s="77">
        <v>4131</v>
      </c>
      <c r="C289" s="77">
        <v>417</v>
      </c>
      <c r="D289" s="77" t="s">
        <v>438</v>
      </c>
      <c r="E289" s="77" t="s">
        <v>439</v>
      </c>
      <c r="F289" s="78">
        <v>0</v>
      </c>
      <c r="G289" s="78">
        <v>0</v>
      </c>
      <c r="H289" s="78">
        <v>0</v>
      </c>
      <c r="I289" s="78">
        <v>0</v>
      </c>
      <c r="J289" s="78">
        <v>0</v>
      </c>
      <c r="K289" s="78" t="e">
        <f>SUMIFS(#REF!,#REF!,MLS!A289)</f>
        <v>#REF!</v>
      </c>
      <c r="L289" s="78" t="e">
        <f>SUMIFS(#REF!,#REF!,MLS!A289)</f>
        <v>#REF!</v>
      </c>
      <c r="M289" s="78">
        <v>0</v>
      </c>
      <c r="N289" s="78">
        <f>ROUND(SUMIFS(TB_Convert!M:M,TB_Convert!A:A,A289),0)</f>
        <v>0</v>
      </c>
      <c r="O289" s="89" t="str">
        <f t="shared" si="116"/>
        <v>H</v>
      </c>
    </row>
    <row r="290" spans="1:15" x14ac:dyDescent="0.2">
      <c r="A290" s="68">
        <v>417002</v>
      </c>
      <c r="B290" s="77">
        <v>4132</v>
      </c>
      <c r="C290" s="77">
        <v>417</v>
      </c>
      <c r="D290" s="77" t="s">
        <v>440</v>
      </c>
      <c r="E290" s="77" t="s">
        <v>441</v>
      </c>
      <c r="F290" s="78">
        <v>0</v>
      </c>
      <c r="G290" s="78">
        <v>0</v>
      </c>
      <c r="H290" s="78">
        <v>0</v>
      </c>
      <c r="I290" s="78">
        <v>0</v>
      </c>
      <c r="J290" s="78">
        <v>0</v>
      </c>
      <c r="K290" s="78" t="e">
        <f>SUMIFS(#REF!,#REF!,MLS!A290)</f>
        <v>#REF!</v>
      </c>
      <c r="L290" s="78" t="e">
        <f>SUMIFS(#REF!,#REF!,MLS!A290)</f>
        <v>#REF!</v>
      </c>
      <c r="M290" s="78">
        <v>0</v>
      </c>
      <c r="N290" s="78">
        <f>ROUND(SUMIFS(TB_Convert!M:M,TB_Convert!A:A,A290),0)</f>
        <v>0</v>
      </c>
      <c r="O290" s="89" t="str">
        <f t="shared" si="116"/>
        <v>H</v>
      </c>
    </row>
    <row r="291" spans="1:15" x14ac:dyDescent="0.2">
      <c r="A291" s="80"/>
      <c r="B291" s="80"/>
      <c r="C291" s="80"/>
      <c r="D291" s="80" t="s">
        <v>99</v>
      </c>
      <c r="E291" s="80" t="s">
        <v>220</v>
      </c>
      <c r="F291" s="81">
        <v>0</v>
      </c>
      <c r="G291" s="81">
        <v>0</v>
      </c>
      <c r="H291" s="81">
        <v>0</v>
      </c>
      <c r="I291" s="81">
        <v>0</v>
      </c>
      <c r="J291" s="81">
        <v>0</v>
      </c>
      <c r="K291" s="81" t="e">
        <f t="shared" ref="K291:M291" si="129">SUM(K289:K290)</f>
        <v>#REF!</v>
      </c>
      <c r="L291" s="81" t="e">
        <f t="shared" si="129"/>
        <v>#REF!</v>
      </c>
      <c r="M291" s="81">
        <v>0</v>
      </c>
      <c r="N291" s="81">
        <f t="shared" ref="N291" si="130">SUM(N289:N290)</f>
        <v>0</v>
      </c>
      <c r="O291" s="89" t="str">
        <f t="shared" si="116"/>
        <v>H</v>
      </c>
    </row>
    <row r="292" spans="1:15" x14ac:dyDescent="0.2">
      <c r="A292" s="80">
        <v>418001</v>
      </c>
      <c r="B292" s="80">
        <v>414</v>
      </c>
      <c r="C292" s="80">
        <v>418</v>
      </c>
      <c r="D292" s="80" t="s">
        <v>100</v>
      </c>
      <c r="E292" s="80" t="s">
        <v>221</v>
      </c>
      <c r="F292" s="81">
        <v>0</v>
      </c>
      <c r="G292" s="81">
        <v>0</v>
      </c>
      <c r="H292" s="81">
        <v>0</v>
      </c>
      <c r="I292" s="81">
        <v>0</v>
      </c>
      <c r="J292" s="81">
        <v>0</v>
      </c>
      <c r="K292" s="338" t="e">
        <f>SUMIFS(#REF!,#REF!,MLS!A292)</f>
        <v>#REF!</v>
      </c>
      <c r="L292" s="338" t="e">
        <f>SUMIFS(#REF!,#REF!,MLS!A292)</f>
        <v>#REF!</v>
      </c>
      <c r="M292" s="81">
        <v>0</v>
      </c>
      <c r="N292" s="81">
        <f ca="1">SUMIF(TB_Convert!$A$4:$K$86,MLS!E292,TB_Convert!$K$4:$K$86)</f>
        <v>0</v>
      </c>
      <c r="O292" s="89" t="str">
        <f t="shared" si="116"/>
        <v>H</v>
      </c>
    </row>
    <row r="293" spans="1:15" x14ac:dyDescent="0.2">
      <c r="A293" s="80">
        <v>419001</v>
      </c>
      <c r="B293" s="80">
        <v>419</v>
      </c>
      <c r="C293" s="80">
        <v>419</v>
      </c>
      <c r="D293" s="80" t="s">
        <v>101</v>
      </c>
      <c r="E293" s="80" t="s">
        <v>222</v>
      </c>
      <c r="F293" s="81">
        <v>0</v>
      </c>
      <c r="G293" s="81">
        <v>0</v>
      </c>
      <c r="H293" s="81">
        <v>0</v>
      </c>
      <c r="I293" s="81">
        <v>0</v>
      </c>
      <c r="J293" s="81">
        <v>0</v>
      </c>
      <c r="K293" s="338" t="e">
        <f>SUMIFS(#REF!,#REF!,MLS!A293)</f>
        <v>#REF!</v>
      </c>
      <c r="L293" s="338" t="e">
        <f>SUMIFS(#REF!,#REF!,MLS!A293)</f>
        <v>#REF!</v>
      </c>
      <c r="M293" s="81">
        <v>0</v>
      </c>
      <c r="N293" s="81">
        <f ca="1">SUMIF(TB_Convert!$A$4:$K$86,MLS!E293,TB_Convert!$K$4:$K$86)</f>
        <v>0</v>
      </c>
      <c r="O293" s="89" t="str">
        <f t="shared" si="116"/>
        <v>H</v>
      </c>
    </row>
    <row r="294" spans="1:15" x14ac:dyDescent="0.2">
      <c r="A294" s="80">
        <v>420001</v>
      </c>
      <c r="B294" s="80">
        <v>418</v>
      </c>
      <c r="C294" s="80">
        <v>420</v>
      </c>
      <c r="D294" s="80" t="s">
        <v>102</v>
      </c>
      <c r="E294" s="80" t="s">
        <v>223</v>
      </c>
      <c r="F294" s="81">
        <v>0</v>
      </c>
      <c r="G294" s="81">
        <v>0</v>
      </c>
      <c r="H294" s="81">
        <v>0</v>
      </c>
      <c r="I294" s="81">
        <v>0</v>
      </c>
      <c r="J294" s="81">
        <v>0</v>
      </c>
      <c r="K294" s="338" t="e">
        <f>SUMIFS(#REF!,#REF!,MLS!A294)</f>
        <v>#REF!</v>
      </c>
      <c r="L294" s="338" t="e">
        <f>SUMIFS(#REF!,#REF!,MLS!A294)</f>
        <v>#REF!</v>
      </c>
      <c r="M294" s="81">
        <v>0</v>
      </c>
      <c r="N294" s="81">
        <f ca="1">SUMIF(TB_Convert!$A$4:$K$86,MLS!E294,TB_Convert!$K$4:$K$86)</f>
        <v>0</v>
      </c>
      <c r="O294" s="89" t="str">
        <f t="shared" si="116"/>
        <v>H</v>
      </c>
    </row>
    <row r="295" spans="1:15" x14ac:dyDescent="0.2">
      <c r="A295" s="68">
        <v>421001</v>
      </c>
      <c r="B295" s="77">
        <v>4211</v>
      </c>
      <c r="C295" s="117" t="s">
        <v>105</v>
      </c>
      <c r="D295" s="77" t="s">
        <v>104</v>
      </c>
      <c r="E295" s="77"/>
      <c r="F295" s="78">
        <v>1155861463050</v>
      </c>
      <c r="G295" s="78">
        <v>0</v>
      </c>
      <c r="H295" s="78">
        <v>0</v>
      </c>
      <c r="I295" s="78">
        <v>1155861463050</v>
      </c>
      <c r="J295" s="78">
        <v>1112782078325</v>
      </c>
      <c r="K295" s="78" t="e">
        <f>SUMIFS(#REF!,#REF!,MLS!A295)</f>
        <v>#REF!</v>
      </c>
      <c r="L295" s="78" t="e">
        <f>SUMIFS(#REF!,#REF!,MLS!A295)</f>
        <v>#REF!</v>
      </c>
      <c r="M295" s="78">
        <v>1112782078325</v>
      </c>
      <c r="N295" s="78">
        <f>M299</f>
        <v>1027537261541</v>
      </c>
      <c r="O295" s="89" t="str">
        <f t="shared" si="116"/>
        <v>S</v>
      </c>
    </row>
    <row r="296" spans="1:15" x14ac:dyDescent="0.2">
      <c r="A296" s="68">
        <v>421004</v>
      </c>
      <c r="B296" s="77">
        <v>4211</v>
      </c>
      <c r="C296" s="117" t="s">
        <v>105</v>
      </c>
      <c r="D296" s="77" t="s">
        <v>698</v>
      </c>
      <c r="E296" s="77"/>
      <c r="F296" s="78">
        <v>0</v>
      </c>
      <c r="G296" s="78">
        <v>0</v>
      </c>
      <c r="H296" s="78">
        <v>0</v>
      </c>
      <c r="I296" s="78">
        <v>0</v>
      </c>
      <c r="J296" s="78">
        <v>0</v>
      </c>
      <c r="K296" s="78" t="e">
        <f>SUMIFS(#REF!,#REF!,MLS!A296)</f>
        <v>#REF!</v>
      </c>
      <c r="L296" s="78" t="e">
        <f>SUMIFS(#REF!,#REF!,MLS!A296)</f>
        <v>#REF!</v>
      </c>
      <c r="M296" s="78">
        <v>0</v>
      </c>
      <c r="N296" s="78">
        <f>ROUND(SUMIFS(TB_Convert!M:M,TB_Convert!A:A,A296),0)</f>
        <v>0</v>
      </c>
      <c r="O296" s="89" t="str">
        <f t="shared" si="116"/>
        <v>H</v>
      </c>
    </row>
    <row r="297" spans="1:15" x14ac:dyDescent="0.2">
      <c r="A297" s="68">
        <v>421003</v>
      </c>
      <c r="B297" s="77">
        <v>4211</v>
      </c>
      <c r="C297" s="117" t="s">
        <v>105</v>
      </c>
      <c r="D297" s="77" t="s">
        <v>697</v>
      </c>
      <c r="E297" s="77"/>
      <c r="F297" s="78">
        <v>0</v>
      </c>
      <c r="G297" s="78">
        <v>0</v>
      </c>
      <c r="H297" s="78">
        <v>0</v>
      </c>
      <c r="I297" s="78">
        <v>0</v>
      </c>
      <c r="J297" s="78">
        <v>0</v>
      </c>
      <c r="K297" s="78" t="e">
        <f>SUMIFS(#REF!,#REF!,MLS!A297)</f>
        <v>#REF!</v>
      </c>
      <c r="L297" s="78" t="e">
        <f>SUMIFS(#REF!,#REF!,MLS!A297)</f>
        <v>#REF!</v>
      </c>
      <c r="M297" s="78">
        <v>0</v>
      </c>
      <c r="N297" s="78">
        <f>ROUND(SUMIFS(TB_Convert!M:M,TB_Convert!A:A,A297),0)</f>
        <v>0</v>
      </c>
      <c r="O297" s="89" t="str">
        <f t="shared" si="116"/>
        <v>H</v>
      </c>
    </row>
    <row r="298" spans="1:15" x14ac:dyDescent="0.2">
      <c r="A298" s="68">
        <v>421002</v>
      </c>
      <c r="B298" s="77">
        <v>4212</v>
      </c>
      <c r="C298" s="117" t="s">
        <v>106</v>
      </c>
      <c r="D298" s="77" t="s">
        <v>774</v>
      </c>
      <c r="E298" s="77"/>
      <c r="F298" s="119">
        <v>-43079384725</v>
      </c>
      <c r="G298" s="119">
        <v>0</v>
      </c>
      <c r="H298" s="119">
        <v>0</v>
      </c>
      <c r="I298" s="119">
        <v>-43079384725</v>
      </c>
      <c r="J298" s="119">
        <v>-85322605264</v>
      </c>
      <c r="K298" s="119" t="e">
        <f>K376</f>
        <v>#REF!</v>
      </c>
      <c r="L298" s="119" t="e">
        <f>L376</f>
        <v>#REF!</v>
      </c>
      <c r="M298" s="119">
        <v>-85244816784</v>
      </c>
      <c r="N298" s="119">
        <f>N376</f>
        <v>-73232510118</v>
      </c>
      <c r="O298" s="89" t="str">
        <f t="shared" si="116"/>
        <v>S</v>
      </c>
    </row>
    <row r="299" spans="1:15" x14ac:dyDescent="0.2">
      <c r="A299" s="80"/>
      <c r="B299" s="80"/>
      <c r="C299" s="80">
        <v>421</v>
      </c>
      <c r="D299" s="80" t="s">
        <v>775</v>
      </c>
      <c r="E299" s="80"/>
      <c r="F299" s="81">
        <v>1112782078325</v>
      </c>
      <c r="G299" s="81">
        <v>0</v>
      </c>
      <c r="H299" s="81">
        <v>0</v>
      </c>
      <c r="I299" s="81">
        <v>1112782078325</v>
      </c>
      <c r="J299" s="81">
        <v>1027459473061</v>
      </c>
      <c r="K299" s="81" t="e">
        <f t="shared" ref="K299:M299" si="131">SUM(K295:K298)</f>
        <v>#REF!</v>
      </c>
      <c r="L299" s="81" t="e">
        <f t="shared" si="131"/>
        <v>#REF!</v>
      </c>
      <c r="M299" s="81">
        <v>1027537261541</v>
      </c>
      <c r="N299" s="81">
        <f>SUM(N295:N298)</f>
        <v>954304751423</v>
      </c>
      <c r="O299" s="89" t="str">
        <f t="shared" si="116"/>
        <v>S</v>
      </c>
    </row>
    <row r="300" spans="1:15" x14ac:dyDescent="0.2">
      <c r="A300" s="80">
        <v>422001</v>
      </c>
      <c r="B300" s="80">
        <v>441</v>
      </c>
      <c r="C300" s="80">
        <v>422</v>
      </c>
      <c r="D300" s="80" t="s">
        <v>107</v>
      </c>
      <c r="E300" s="80" t="s">
        <v>227</v>
      </c>
      <c r="F300" s="81">
        <v>0</v>
      </c>
      <c r="G300" s="81">
        <v>0</v>
      </c>
      <c r="H300" s="81">
        <v>0</v>
      </c>
      <c r="I300" s="81">
        <v>0</v>
      </c>
      <c r="J300" s="81">
        <v>0</v>
      </c>
      <c r="K300" s="338" t="e">
        <f>SUMIFS(#REF!,#REF!,MLS!A300)</f>
        <v>#REF!</v>
      </c>
      <c r="L300" s="338" t="e">
        <f>SUMIFS(#REF!,#REF!,MLS!A300)</f>
        <v>#REF!</v>
      </c>
      <c r="M300" s="81">
        <v>0</v>
      </c>
      <c r="N300" s="81">
        <f ca="1">SUMIF(TB_Convert!$A$4:$K$86,MLS!E300,TB_Convert!$K$4:$K$86)</f>
        <v>0</v>
      </c>
      <c r="O300" s="89" t="str">
        <f t="shared" si="116"/>
        <v>H</v>
      </c>
    </row>
    <row r="301" spans="1:15" x14ac:dyDescent="0.2">
      <c r="A301" s="80">
        <v>429001</v>
      </c>
      <c r="B301" s="80"/>
      <c r="C301" s="80">
        <v>429</v>
      </c>
      <c r="D301" s="80" t="s">
        <v>108</v>
      </c>
      <c r="E301" s="80" t="s">
        <v>228</v>
      </c>
      <c r="F301" s="81">
        <v>0</v>
      </c>
      <c r="G301" s="81">
        <v>0</v>
      </c>
      <c r="H301" s="81">
        <v>0</v>
      </c>
      <c r="I301" s="81">
        <v>0</v>
      </c>
      <c r="J301" s="81">
        <v>0</v>
      </c>
      <c r="K301" s="338" t="e">
        <f>SUMIFS(#REF!,#REF!,MLS!A301)</f>
        <v>#REF!</v>
      </c>
      <c r="L301" s="338" t="e">
        <f>SUMIFS(#REF!,#REF!,MLS!A301)</f>
        <v>#REF!</v>
      </c>
      <c r="M301" s="81">
        <v>0</v>
      </c>
      <c r="N301" s="81">
        <f>ROUND(SUMIF(TB_Convert!$A:$A,MLS!H301,TB_Convert!$H:$H),0)</f>
        <v>0</v>
      </c>
      <c r="O301" s="89" t="str">
        <f t="shared" si="116"/>
        <v>H</v>
      </c>
    </row>
    <row r="302" spans="1:15" x14ac:dyDescent="0.2">
      <c r="A302" s="84"/>
      <c r="B302" s="84"/>
      <c r="C302" s="84">
        <v>410</v>
      </c>
      <c r="D302" s="84" t="s">
        <v>89</v>
      </c>
      <c r="E302" s="84" t="s">
        <v>212</v>
      </c>
      <c r="F302" s="85">
        <v>-2221107732411</v>
      </c>
      <c r="G302" s="85">
        <v>0</v>
      </c>
      <c r="H302" s="85">
        <v>0</v>
      </c>
      <c r="I302" s="85">
        <v>-2221107732411</v>
      </c>
      <c r="J302" s="85">
        <v>-2306430337675</v>
      </c>
      <c r="K302" s="85" t="e">
        <f t="shared" ref="K302:M302" si="132">SUM(K283:K288,K291:K294,K299:K301)</f>
        <v>#REF!</v>
      </c>
      <c r="L302" s="85" t="e">
        <f t="shared" si="132"/>
        <v>#REF!</v>
      </c>
      <c r="M302" s="85">
        <v>-2306352549195</v>
      </c>
      <c r="N302" s="85">
        <f t="shared" ref="N302" ca="1" si="133">SUM(N283:N288,N291:N294,N299:N301)</f>
        <v>-2379585059313</v>
      </c>
      <c r="O302" s="89" t="str">
        <f t="shared" si="116"/>
        <v>S</v>
      </c>
    </row>
    <row r="303" spans="1:15" x14ac:dyDescent="0.2">
      <c r="A303" s="68">
        <v>431001</v>
      </c>
      <c r="B303" s="77">
        <v>161</v>
      </c>
      <c r="C303" s="77">
        <v>431</v>
      </c>
      <c r="D303" s="77" t="s">
        <v>442</v>
      </c>
      <c r="E303" s="77" t="s">
        <v>443</v>
      </c>
      <c r="F303" s="78">
        <v>0</v>
      </c>
      <c r="G303" s="78">
        <v>0</v>
      </c>
      <c r="H303" s="78">
        <v>0</v>
      </c>
      <c r="I303" s="78">
        <v>0</v>
      </c>
      <c r="J303" s="78">
        <v>0</v>
      </c>
      <c r="K303" s="78" t="e">
        <f>SUMIFS(#REF!,#REF!,MLS!A303)</f>
        <v>#REF!</v>
      </c>
      <c r="L303" s="78" t="e">
        <f>SUMIFS(#REF!,#REF!,MLS!A303)</f>
        <v>#REF!</v>
      </c>
      <c r="M303" s="78">
        <v>0</v>
      </c>
      <c r="N303" s="78">
        <f>ROUND(SUMIFS(TB_Convert!M:M,TB_Convert!A:A,A303),0)</f>
        <v>0</v>
      </c>
      <c r="O303" s="89" t="str">
        <f t="shared" si="116"/>
        <v>H</v>
      </c>
    </row>
    <row r="304" spans="1:15" x14ac:dyDescent="0.2">
      <c r="A304" s="68">
        <v>431002</v>
      </c>
      <c r="B304" s="77">
        <v>4611</v>
      </c>
      <c r="C304" s="77">
        <v>431</v>
      </c>
      <c r="D304" s="77" t="s">
        <v>444</v>
      </c>
      <c r="E304" s="77" t="s">
        <v>445</v>
      </c>
      <c r="F304" s="78">
        <v>0</v>
      </c>
      <c r="G304" s="78">
        <v>0</v>
      </c>
      <c r="H304" s="78">
        <v>0</v>
      </c>
      <c r="I304" s="78">
        <v>0</v>
      </c>
      <c r="J304" s="78">
        <v>0</v>
      </c>
      <c r="K304" s="78" t="e">
        <f>SUMIFS(#REF!,#REF!,MLS!A304)</f>
        <v>#REF!</v>
      </c>
      <c r="L304" s="78" t="e">
        <f>SUMIFS(#REF!,#REF!,MLS!A304)</f>
        <v>#REF!</v>
      </c>
      <c r="M304" s="78">
        <v>0</v>
      </c>
      <c r="N304" s="78">
        <f>ROUND(SUMIFS(TB_Convert!M:M,TB_Convert!A:A,A304),0)</f>
        <v>0</v>
      </c>
      <c r="O304" s="89" t="str">
        <f t="shared" si="116"/>
        <v>H</v>
      </c>
    </row>
    <row r="305" spans="1:15" x14ac:dyDescent="0.2">
      <c r="A305" s="68">
        <v>431003</v>
      </c>
      <c r="B305" s="77">
        <v>4612</v>
      </c>
      <c r="C305" s="77">
        <v>431</v>
      </c>
      <c r="D305" s="77" t="s">
        <v>446</v>
      </c>
      <c r="E305" s="77" t="s">
        <v>447</v>
      </c>
      <c r="F305" s="78">
        <v>0</v>
      </c>
      <c r="G305" s="78">
        <v>0</v>
      </c>
      <c r="H305" s="78">
        <v>0</v>
      </c>
      <c r="I305" s="78">
        <v>0</v>
      </c>
      <c r="J305" s="78">
        <v>0</v>
      </c>
      <c r="K305" s="78" t="e">
        <f>SUMIFS(#REF!,#REF!,MLS!A305)</f>
        <v>#REF!</v>
      </c>
      <c r="L305" s="78" t="e">
        <f>SUMIFS(#REF!,#REF!,MLS!A305)</f>
        <v>#REF!</v>
      </c>
      <c r="M305" s="78">
        <v>0</v>
      </c>
      <c r="N305" s="78">
        <f>ROUND(SUMIFS(TB_Convert!M:M,TB_Convert!A:A,A305),0)</f>
        <v>0</v>
      </c>
      <c r="O305" s="89" t="str">
        <f t="shared" si="116"/>
        <v>H</v>
      </c>
    </row>
    <row r="306" spans="1:15" x14ac:dyDescent="0.2">
      <c r="A306" s="80"/>
      <c r="B306" s="80"/>
      <c r="C306" s="80"/>
      <c r="D306" s="80" t="s">
        <v>110</v>
      </c>
      <c r="E306" s="80" t="s">
        <v>230</v>
      </c>
      <c r="F306" s="81">
        <v>0</v>
      </c>
      <c r="G306" s="81">
        <v>0</v>
      </c>
      <c r="H306" s="81">
        <v>0</v>
      </c>
      <c r="I306" s="81">
        <v>0</v>
      </c>
      <c r="J306" s="81">
        <v>0</v>
      </c>
      <c r="K306" s="81" t="e">
        <f t="shared" ref="K306:M306" si="134">SUM(K303:K305)</f>
        <v>#REF!</v>
      </c>
      <c r="L306" s="81" t="e">
        <f t="shared" si="134"/>
        <v>#REF!</v>
      </c>
      <c r="M306" s="81">
        <v>0</v>
      </c>
      <c r="N306" s="81">
        <f t="shared" ref="N306" si="135">SUM(N303:N305)</f>
        <v>0</v>
      </c>
      <c r="O306" s="89" t="str">
        <f t="shared" si="116"/>
        <v>H</v>
      </c>
    </row>
    <row r="307" spans="1:15" x14ac:dyDescent="0.2">
      <c r="A307" s="80">
        <v>432001</v>
      </c>
      <c r="B307" s="80">
        <v>466</v>
      </c>
      <c r="C307" s="80">
        <v>432</v>
      </c>
      <c r="D307" s="80" t="s">
        <v>111</v>
      </c>
      <c r="E307" s="80" t="s">
        <v>231</v>
      </c>
      <c r="F307" s="81">
        <v>0</v>
      </c>
      <c r="G307" s="81">
        <v>0</v>
      </c>
      <c r="H307" s="81">
        <v>0</v>
      </c>
      <c r="I307" s="81">
        <v>0</v>
      </c>
      <c r="J307" s="81">
        <v>0</v>
      </c>
      <c r="K307" s="338" t="e">
        <f>SUMIFS(#REF!,#REF!,MLS!A307)</f>
        <v>#REF!</v>
      </c>
      <c r="L307" s="338" t="e">
        <f>SUMIFS(#REF!,#REF!,MLS!A307)</f>
        <v>#REF!</v>
      </c>
      <c r="M307" s="81">
        <v>0</v>
      </c>
      <c r="N307" s="81">
        <f ca="1">SUMIF(TB_Convert!$A$4:$K$86,MLS!E307,TB_Convert!$K$4:$K$86)</f>
        <v>0</v>
      </c>
      <c r="O307" s="89" t="str">
        <f t="shared" si="116"/>
        <v>H</v>
      </c>
    </row>
    <row r="308" spans="1:15" x14ac:dyDescent="0.2">
      <c r="A308" s="84"/>
      <c r="B308" s="84"/>
      <c r="C308" s="84">
        <v>430</v>
      </c>
      <c r="D308" s="84" t="s">
        <v>109</v>
      </c>
      <c r="E308" s="84" t="s">
        <v>229</v>
      </c>
      <c r="F308" s="85">
        <v>0</v>
      </c>
      <c r="G308" s="85">
        <v>0</v>
      </c>
      <c r="H308" s="85">
        <v>0</v>
      </c>
      <c r="I308" s="85">
        <v>0</v>
      </c>
      <c r="J308" s="85">
        <v>0</v>
      </c>
      <c r="K308" s="85" t="e">
        <f t="shared" ref="K308:M308" si="136">SUM(K306:K307)</f>
        <v>#REF!</v>
      </c>
      <c r="L308" s="85" t="e">
        <f t="shared" si="136"/>
        <v>#REF!</v>
      </c>
      <c r="M308" s="85">
        <v>0</v>
      </c>
      <c r="N308" s="85">
        <f ca="1">SUM(N306:N307)</f>
        <v>0</v>
      </c>
      <c r="O308" s="89" t="str">
        <f t="shared" si="116"/>
        <v>H</v>
      </c>
    </row>
    <row r="309" spans="1:15" x14ac:dyDescent="0.2">
      <c r="A309" s="93"/>
      <c r="B309" s="93"/>
      <c r="C309" s="93">
        <v>400</v>
      </c>
      <c r="D309" s="93" t="s">
        <v>88</v>
      </c>
      <c r="E309" s="93"/>
      <c r="F309" s="94">
        <v>-2221107732411</v>
      </c>
      <c r="G309" s="94">
        <v>0</v>
      </c>
      <c r="H309" s="94">
        <v>0</v>
      </c>
      <c r="I309" s="94">
        <v>-2221107732411</v>
      </c>
      <c r="J309" s="94">
        <v>-2306430337675</v>
      </c>
      <c r="K309" s="94" t="e">
        <f>SUM(K302,K308)</f>
        <v>#REF!</v>
      </c>
      <c r="L309" s="94" t="e">
        <f t="shared" ref="L309:M309" si="137">SUM(L302,L308)</f>
        <v>#REF!</v>
      </c>
      <c r="M309" s="94">
        <v>-2306352549195</v>
      </c>
      <c r="N309" s="94">
        <f t="shared" ref="N309" ca="1" si="138">SUM(N302,N308)</f>
        <v>-2379585059313</v>
      </c>
      <c r="O309" s="89" t="str">
        <f t="shared" si="116"/>
        <v>S</v>
      </c>
    </row>
    <row r="310" spans="1:15" x14ac:dyDescent="0.2">
      <c r="A310" s="111"/>
      <c r="B310" s="111"/>
      <c r="C310" s="111">
        <v>440</v>
      </c>
      <c r="D310" s="111" t="s">
        <v>112</v>
      </c>
      <c r="E310" s="111" t="s">
        <v>232</v>
      </c>
      <c r="F310" s="112">
        <v>-4905395285927</v>
      </c>
      <c r="G310" s="112">
        <v>0</v>
      </c>
      <c r="H310" s="112">
        <v>-37632295441</v>
      </c>
      <c r="I310" s="112">
        <v>-4943027581368</v>
      </c>
      <c r="J310" s="112">
        <v>-4781188285204</v>
      </c>
      <c r="K310" s="112" t="e">
        <f t="shared" ref="K310:M310" si="139">SUM(K309,K279)</f>
        <v>#REF!</v>
      </c>
      <c r="L310" s="112" t="e">
        <f t="shared" si="139"/>
        <v>#REF!</v>
      </c>
      <c r="M310" s="112">
        <v>-4781188285204</v>
      </c>
      <c r="N310" s="112">
        <f t="shared" ref="N310" ca="1" si="140">SUM(N309,N279)</f>
        <v>-6623041759566</v>
      </c>
      <c r="O310" s="89" t="str">
        <f t="shared" si="116"/>
        <v>S</v>
      </c>
    </row>
    <row r="311" spans="1:15" x14ac:dyDescent="0.2">
      <c r="N311" s="69">
        <f>ROUND(SUMIFS(TB_Convert!M:M,TB_Convert!A:A,A311),0)</f>
        <v>0</v>
      </c>
      <c r="O311" s="89" t="str">
        <f t="shared" si="116"/>
        <v>H</v>
      </c>
    </row>
    <row r="312" spans="1:15" x14ac:dyDescent="0.2">
      <c r="D312" s="70" t="s">
        <v>450</v>
      </c>
      <c r="E312" s="70" t="s">
        <v>451</v>
      </c>
      <c r="N312" s="69">
        <f>ROUND(SUMIFS(TB_Convert!M:M,TB_Convert!A:A,A312),0)</f>
        <v>0</v>
      </c>
      <c r="O312" s="89" t="str">
        <f t="shared" si="116"/>
        <v>H</v>
      </c>
    </row>
    <row r="313" spans="1:15" x14ac:dyDescent="0.2">
      <c r="A313" s="68">
        <v>511100</v>
      </c>
      <c r="B313" s="77">
        <v>5111</v>
      </c>
      <c r="C313" s="77">
        <v>1</v>
      </c>
      <c r="D313" s="77" t="s">
        <v>493</v>
      </c>
      <c r="E313" s="77" t="s">
        <v>494</v>
      </c>
      <c r="F313" s="78">
        <v>0</v>
      </c>
      <c r="G313" s="78">
        <v>0</v>
      </c>
      <c r="H313" s="78">
        <v>0</v>
      </c>
      <c r="I313" s="78">
        <v>0</v>
      </c>
      <c r="J313" s="78">
        <v>0</v>
      </c>
      <c r="K313" s="78" t="e">
        <f>SUMIFS(#REF!,#REF!,MLS!A313)</f>
        <v>#REF!</v>
      </c>
      <c r="L313" s="78" t="e">
        <f>SUMIFS(#REF!,#REF!,MLS!A313)</f>
        <v>#REF!</v>
      </c>
      <c r="M313" s="78">
        <v>0</v>
      </c>
      <c r="N313" s="78">
        <f>ROUND(SUMIFS(TB_Convert!M:M,TB_Convert!A:A,A313),0)</f>
        <v>0</v>
      </c>
      <c r="O313" s="89" t="str">
        <f t="shared" si="116"/>
        <v>H</v>
      </c>
    </row>
    <row r="314" spans="1:15" x14ac:dyDescent="0.2">
      <c r="A314" s="68">
        <v>511200</v>
      </c>
      <c r="B314" s="77">
        <v>5112</v>
      </c>
      <c r="C314" s="77">
        <v>1</v>
      </c>
      <c r="D314" s="77" t="s">
        <v>495</v>
      </c>
      <c r="E314" s="77" t="s">
        <v>496</v>
      </c>
      <c r="F314" s="78">
        <v>0</v>
      </c>
      <c r="G314" s="78">
        <v>0</v>
      </c>
      <c r="H314" s="78">
        <v>0</v>
      </c>
      <c r="I314" s="78">
        <v>0</v>
      </c>
      <c r="J314" s="78">
        <v>0</v>
      </c>
      <c r="K314" s="78" t="e">
        <f>SUMIFS(#REF!,#REF!,MLS!A314)</f>
        <v>#REF!</v>
      </c>
      <c r="L314" s="78" t="e">
        <f>SUMIFS(#REF!,#REF!,MLS!A314)</f>
        <v>#REF!</v>
      </c>
      <c r="M314" s="78">
        <v>0</v>
      </c>
      <c r="N314" s="78">
        <f>ROUND(SUMIFS(TB_Convert!M:M,TB_Convert!A:A,A314),0)</f>
        <v>0</v>
      </c>
      <c r="O314" s="89" t="str">
        <f t="shared" si="116"/>
        <v>H</v>
      </c>
    </row>
    <row r="315" spans="1:15" x14ac:dyDescent="0.2">
      <c r="A315" s="68">
        <v>511300</v>
      </c>
      <c r="B315" s="77">
        <v>5113</v>
      </c>
      <c r="C315" s="77">
        <v>1</v>
      </c>
      <c r="D315" s="77" t="s">
        <v>497</v>
      </c>
      <c r="E315" s="77" t="s">
        <v>498</v>
      </c>
      <c r="F315" s="78">
        <v>-216666666668</v>
      </c>
      <c r="G315" s="78">
        <v>0</v>
      </c>
      <c r="H315" s="78">
        <v>0</v>
      </c>
      <c r="I315" s="78">
        <v>-216666666668</v>
      </c>
      <c r="J315" s="78">
        <v>-259666666668</v>
      </c>
      <c r="K315" s="78" t="e">
        <f>SUMIFS(#REF!,#REF!,MLS!A315)</f>
        <v>#REF!</v>
      </c>
      <c r="L315" s="78" t="e">
        <f>SUMIFS(#REF!,#REF!,MLS!A315)</f>
        <v>#REF!</v>
      </c>
      <c r="M315" s="78">
        <v>-259666666668</v>
      </c>
      <c r="N315" s="78">
        <f>ROUND(SUMIFS(TB_Convert!M:M,TB_Convert!A:A,A315),0)</f>
        <v>-259666666668</v>
      </c>
      <c r="O315" s="89" t="str">
        <f t="shared" si="116"/>
        <v>S</v>
      </c>
    </row>
    <row r="316" spans="1:15" x14ac:dyDescent="0.2">
      <c r="A316" s="68">
        <v>511400</v>
      </c>
      <c r="B316" s="77">
        <v>5114</v>
      </c>
      <c r="C316" s="77">
        <v>1</v>
      </c>
      <c r="D316" s="77" t="s">
        <v>499</v>
      </c>
      <c r="E316" s="77" t="s">
        <v>500</v>
      </c>
      <c r="F316" s="78">
        <v>0</v>
      </c>
      <c r="G316" s="78">
        <v>0</v>
      </c>
      <c r="H316" s="78">
        <v>0</v>
      </c>
      <c r="I316" s="78">
        <v>0</v>
      </c>
      <c r="J316" s="78">
        <v>0</v>
      </c>
      <c r="K316" s="78" t="e">
        <f>SUMIFS(#REF!,#REF!,MLS!A316)</f>
        <v>#REF!</v>
      </c>
      <c r="L316" s="78" t="e">
        <f>SUMIFS(#REF!,#REF!,MLS!A316)</f>
        <v>#REF!</v>
      </c>
      <c r="M316" s="78">
        <v>0</v>
      </c>
      <c r="N316" s="78">
        <f>ROUND(SUMIFS(TB_Convert!M:M,TB_Convert!A:A,A316),0)</f>
        <v>0</v>
      </c>
      <c r="O316" s="89" t="str">
        <f t="shared" si="116"/>
        <v>H</v>
      </c>
    </row>
    <row r="317" spans="1:15" x14ac:dyDescent="0.2">
      <c r="A317" s="68">
        <v>511700</v>
      </c>
      <c r="B317" s="77">
        <v>5117</v>
      </c>
      <c r="C317" s="77">
        <v>1</v>
      </c>
      <c r="D317" s="77" t="s">
        <v>501</v>
      </c>
      <c r="E317" s="77" t="s">
        <v>502</v>
      </c>
      <c r="F317" s="78">
        <v>0</v>
      </c>
      <c r="G317" s="78">
        <v>0</v>
      </c>
      <c r="H317" s="78">
        <v>0</v>
      </c>
      <c r="I317" s="78">
        <v>0</v>
      </c>
      <c r="J317" s="78">
        <v>0</v>
      </c>
      <c r="K317" s="78" t="e">
        <f>SUMIFS(#REF!,#REF!,MLS!A317)</f>
        <v>#REF!</v>
      </c>
      <c r="L317" s="78" t="e">
        <f>SUMIFS(#REF!,#REF!,MLS!A317)</f>
        <v>#REF!</v>
      </c>
      <c r="M317" s="78">
        <v>0</v>
      </c>
      <c r="N317" s="78">
        <f>ROUND(SUMIFS(TB_Convert!M:M,TB_Convert!A:A,A317),0)</f>
        <v>0</v>
      </c>
      <c r="O317" s="89" t="str">
        <f t="shared" si="116"/>
        <v>H</v>
      </c>
    </row>
    <row r="318" spans="1:15" x14ac:dyDescent="0.2">
      <c r="A318" s="68">
        <v>511800</v>
      </c>
      <c r="B318" s="77">
        <v>5118</v>
      </c>
      <c r="C318" s="77">
        <v>1</v>
      </c>
      <c r="D318" s="77" t="s">
        <v>503</v>
      </c>
      <c r="E318" s="77" t="s">
        <v>504</v>
      </c>
      <c r="F318" s="78">
        <v>0</v>
      </c>
      <c r="G318" s="78">
        <v>0</v>
      </c>
      <c r="H318" s="78">
        <v>0</v>
      </c>
      <c r="I318" s="78">
        <v>0</v>
      </c>
      <c r="J318" s="78">
        <v>0</v>
      </c>
      <c r="K318" s="78" t="e">
        <f>SUMIFS(#REF!,#REF!,MLS!A318)</f>
        <v>#REF!</v>
      </c>
      <c r="L318" s="78" t="e">
        <f>SUMIFS(#REF!,#REF!,MLS!A318)</f>
        <v>#REF!</v>
      </c>
      <c r="M318" s="78">
        <v>0</v>
      </c>
      <c r="N318" s="78">
        <f>ROUND(SUMIFS(TB_Convert!M:M,TB_Convert!A:A,A318),0)</f>
        <v>0</v>
      </c>
      <c r="O318" s="89" t="str">
        <f t="shared" si="116"/>
        <v>H</v>
      </c>
    </row>
    <row r="319" spans="1:15" x14ac:dyDescent="0.2">
      <c r="A319" s="118"/>
      <c r="B319" s="118"/>
      <c r="C319" s="118"/>
      <c r="D319" s="118" t="s">
        <v>452</v>
      </c>
      <c r="E319" s="118" t="s">
        <v>472</v>
      </c>
      <c r="F319" s="120">
        <v>-216666666668</v>
      </c>
      <c r="G319" s="120">
        <v>0</v>
      </c>
      <c r="H319" s="120">
        <v>0</v>
      </c>
      <c r="I319" s="120">
        <v>-216666666668</v>
      </c>
      <c r="J319" s="120">
        <v>-259666666668</v>
      </c>
      <c r="K319" s="120" t="e">
        <f t="shared" ref="K319:M319" si="141">SUM(K313:K318)</f>
        <v>#REF!</v>
      </c>
      <c r="L319" s="120" t="e">
        <f t="shared" si="141"/>
        <v>#REF!</v>
      </c>
      <c r="M319" s="120">
        <v>-259666666668</v>
      </c>
      <c r="N319" s="120">
        <f t="shared" ref="N319" si="142">SUM(N313:N318)</f>
        <v>-259666666668</v>
      </c>
      <c r="O319" s="89" t="str">
        <f t="shared" si="116"/>
        <v>S</v>
      </c>
    </row>
    <row r="320" spans="1:15" x14ac:dyDescent="0.2">
      <c r="A320" s="68">
        <v>522100</v>
      </c>
      <c r="B320" s="77">
        <v>5221</v>
      </c>
      <c r="C320" s="77">
        <v>2</v>
      </c>
      <c r="D320" s="77" t="s">
        <v>505</v>
      </c>
      <c r="E320" s="77" t="s">
        <v>506</v>
      </c>
      <c r="F320" s="78">
        <v>0</v>
      </c>
      <c r="G320" s="78">
        <v>0</v>
      </c>
      <c r="H320" s="78">
        <v>0</v>
      </c>
      <c r="I320" s="78">
        <v>0</v>
      </c>
      <c r="J320" s="78">
        <v>0</v>
      </c>
      <c r="K320" s="78" t="e">
        <f>SUMIFS(#REF!,#REF!,MLS!A320)</f>
        <v>#REF!</v>
      </c>
      <c r="L320" s="78" t="e">
        <f>SUMIFS(#REF!,#REF!,MLS!A320)</f>
        <v>#REF!</v>
      </c>
      <c r="M320" s="78">
        <v>0</v>
      </c>
      <c r="N320" s="78">
        <f>ROUND(SUMIFS(TB_Convert!M:M,TB_Convert!A:A,A320),0)</f>
        <v>0</v>
      </c>
      <c r="O320" s="89" t="str">
        <f t="shared" si="116"/>
        <v>H</v>
      </c>
    </row>
    <row r="321" spans="1:15" x14ac:dyDescent="0.2">
      <c r="A321" s="68">
        <v>522200</v>
      </c>
      <c r="B321" s="77">
        <v>5222</v>
      </c>
      <c r="C321" s="77">
        <v>2</v>
      </c>
      <c r="D321" s="77" t="s">
        <v>507</v>
      </c>
      <c r="E321" s="77" t="s">
        <v>508</v>
      </c>
      <c r="F321" s="78">
        <v>0</v>
      </c>
      <c r="G321" s="78">
        <v>0</v>
      </c>
      <c r="H321" s="78">
        <v>0</v>
      </c>
      <c r="I321" s="78">
        <v>0</v>
      </c>
      <c r="J321" s="78">
        <v>0</v>
      </c>
      <c r="K321" s="78" t="e">
        <f>SUMIFS(#REF!,#REF!,MLS!A321)</f>
        <v>#REF!</v>
      </c>
      <c r="L321" s="78" t="e">
        <f>SUMIFS(#REF!,#REF!,MLS!A321)</f>
        <v>#REF!</v>
      </c>
      <c r="M321" s="78">
        <v>0</v>
      </c>
      <c r="N321" s="78">
        <f>ROUND(SUMIFS(TB_Convert!M:M,TB_Convert!A:A,A321),0)</f>
        <v>0</v>
      </c>
      <c r="O321" s="89" t="str">
        <f t="shared" si="116"/>
        <v>H</v>
      </c>
    </row>
    <row r="322" spans="1:15" x14ac:dyDescent="0.2">
      <c r="A322" s="68">
        <v>522300</v>
      </c>
      <c r="B322" s="77">
        <v>5223</v>
      </c>
      <c r="C322" s="77">
        <v>2</v>
      </c>
      <c r="D322" s="77" t="s">
        <v>509</v>
      </c>
      <c r="E322" s="77" t="s">
        <v>510</v>
      </c>
      <c r="F322" s="78">
        <v>0</v>
      </c>
      <c r="G322" s="78">
        <v>0</v>
      </c>
      <c r="H322" s="78">
        <v>0</v>
      </c>
      <c r="I322" s="78">
        <v>0</v>
      </c>
      <c r="J322" s="78">
        <v>0</v>
      </c>
      <c r="K322" s="78" t="e">
        <f>SUMIFS(#REF!,#REF!,MLS!A322)</f>
        <v>#REF!</v>
      </c>
      <c r="L322" s="78" t="e">
        <f>SUMIFS(#REF!,#REF!,MLS!A322)</f>
        <v>#REF!</v>
      </c>
      <c r="M322" s="78">
        <v>0</v>
      </c>
      <c r="N322" s="78">
        <f>ROUND(SUMIFS(TB_Convert!M:M,TB_Convert!A:A,A322),0)</f>
        <v>0</v>
      </c>
      <c r="O322" s="89" t="str">
        <f t="shared" si="116"/>
        <v>H</v>
      </c>
    </row>
    <row r="323" spans="1:15" x14ac:dyDescent="0.2">
      <c r="A323" s="118"/>
      <c r="B323" s="118"/>
      <c r="C323" s="118"/>
      <c r="D323" s="118" t="s">
        <v>453</v>
      </c>
      <c r="E323" s="118" t="s">
        <v>473</v>
      </c>
      <c r="F323" s="120">
        <v>0</v>
      </c>
      <c r="G323" s="120">
        <v>0</v>
      </c>
      <c r="H323" s="120">
        <v>0</v>
      </c>
      <c r="I323" s="120">
        <v>0</v>
      </c>
      <c r="J323" s="120">
        <v>0</v>
      </c>
      <c r="K323" s="120" t="e">
        <f t="shared" ref="K323:M323" si="143">SUM(K320:K322)</f>
        <v>#REF!</v>
      </c>
      <c r="L323" s="120" t="e">
        <f t="shared" si="143"/>
        <v>#REF!</v>
      </c>
      <c r="M323" s="120">
        <v>0</v>
      </c>
      <c r="N323" s="120">
        <f t="shared" ref="N323" si="144">SUM(N320:N322)</f>
        <v>0</v>
      </c>
      <c r="O323" s="89" t="str">
        <f t="shared" si="116"/>
        <v>H</v>
      </c>
    </row>
    <row r="324" spans="1:15" x14ac:dyDescent="0.2">
      <c r="A324" s="93"/>
      <c r="B324" s="93"/>
      <c r="C324" s="93">
        <v>10</v>
      </c>
      <c r="D324" s="93" t="s">
        <v>570</v>
      </c>
      <c r="E324" s="93" t="s">
        <v>474</v>
      </c>
      <c r="F324" s="94">
        <v>-216666666668</v>
      </c>
      <c r="G324" s="94">
        <v>0</v>
      </c>
      <c r="H324" s="94">
        <v>0</v>
      </c>
      <c r="I324" s="94">
        <v>-216666666668</v>
      </c>
      <c r="J324" s="94">
        <v>-259666666668</v>
      </c>
      <c r="K324" s="94" t="e">
        <f t="shared" ref="K324:M324" si="145">K319+K323</f>
        <v>#REF!</v>
      </c>
      <c r="L324" s="94" t="e">
        <f t="shared" si="145"/>
        <v>#REF!</v>
      </c>
      <c r="M324" s="94">
        <v>-259666666668</v>
      </c>
      <c r="N324" s="94">
        <f t="shared" ref="N324" si="146">N319+N323</f>
        <v>-259666666668</v>
      </c>
      <c r="O324" s="89" t="str">
        <f t="shared" si="116"/>
        <v>S</v>
      </c>
    </row>
    <row r="325" spans="1:15" s="89" customFormat="1" x14ac:dyDescent="0.2">
      <c r="A325" s="68">
        <v>632100</v>
      </c>
      <c r="B325" s="77">
        <v>6321</v>
      </c>
      <c r="C325" s="77">
        <v>11</v>
      </c>
      <c r="D325" s="77" t="s">
        <v>511</v>
      </c>
      <c r="E325" s="77" t="s">
        <v>515</v>
      </c>
      <c r="F325" s="88">
        <v>0</v>
      </c>
      <c r="G325" s="88">
        <v>0</v>
      </c>
      <c r="H325" s="88">
        <v>0</v>
      </c>
      <c r="I325" s="88">
        <v>0</v>
      </c>
      <c r="J325" s="78">
        <v>0</v>
      </c>
      <c r="K325" s="78" t="e">
        <f>SUMIFS(#REF!,#REF!,MLS!A325)</f>
        <v>#REF!</v>
      </c>
      <c r="L325" s="78" t="e">
        <f>SUMIFS(#REF!,#REF!,MLS!A325)</f>
        <v>#REF!</v>
      </c>
      <c r="M325" s="88">
        <v>0</v>
      </c>
      <c r="N325" s="88">
        <f>ROUND(SUMIFS(TB_Convert!M:M,TB_Convert!A:A,A325),0)</f>
        <v>0</v>
      </c>
      <c r="O325" s="89" t="str">
        <f t="shared" si="116"/>
        <v>H</v>
      </c>
    </row>
    <row r="326" spans="1:15" s="89" customFormat="1" x14ac:dyDescent="0.2">
      <c r="A326" s="68">
        <v>632200</v>
      </c>
      <c r="B326" s="77">
        <v>6322</v>
      </c>
      <c r="C326" s="77">
        <v>11</v>
      </c>
      <c r="D326" s="77" t="s">
        <v>512</v>
      </c>
      <c r="E326" s="77" t="s">
        <v>518</v>
      </c>
      <c r="F326" s="88">
        <v>0</v>
      </c>
      <c r="G326" s="88">
        <v>0</v>
      </c>
      <c r="H326" s="88">
        <v>0</v>
      </c>
      <c r="I326" s="88">
        <v>0</v>
      </c>
      <c r="J326" s="78">
        <v>0</v>
      </c>
      <c r="K326" s="78" t="e">
        <f>SUMIFS(#REF!,#REF!,MLS!A326)</f>
        <v>#REF!</v>
      </c>
      <c r="L326" s="78" t="e">
        <f>SUMIFS(#REF!,#REF!,MLS!A326)</f>
        <v>#REF!</v>
      </c>
      <c r="M326" s="88">
        <v>0</v>
      </c>
      <c r="N326" s="88">
        <f>ROUND(SUMIFS(TB_Convert!M:M,TB_Convert!A:A,A326),0)</f>
        <v>0</v>
      </c>
      <c r="O326" s="89" t="str">
        <f t="shared" si="116"/>
        <v>H</v>
      </c>
    </row>
    <row r="327" spans="1:15" s="89" customFormat="1" x14ac:dyDescent="0.2">
      <c r="A327" s="68">
        <v>632300</v>
      </c>
      <c r="B327" s="77">
        <v>6323</v>
      </c>
      <c r="C327" s="77">
        <v>11</v>
      </c>
      <c r="D327" s="77" t="s">
        <v>513</v>
      </c>
      <c r="E327" s="77" t="s">
        <v>516</v>
      </c>
      <c r="F327" s="88">
        <v>173391531094</v>
      </c>
      <c r="G327" s="88">
        <v>0</v>
      </c>
      <c r="H327" s="88">
        <v>0</v>
      </c>
      <c r="I327" s="88">
        <v>173391531094</v>
      </c>
      <c r="J327" s="78">
        <v>173962271110</v>
      </c>
      <c r="K327" s="78" t="e">
        <f>SUMIFS(#REF!,#REF!,MLS!A327)</f>
        <v>#REF!</v>
      </c>
      <c r="L327" s="78" t="e">
        <f>SUMIFS(#REF!,#REF!,MLS!A327)</f>
        <v>#REF!</v>
      </c>
      <c r="M327" s="88">
        <v>173962271110</v>
      </c>
      <c r="N327" s="88">
        <f>ROUND(SUMIFS(TB_Convert!M:M,TB_Convert!A:A,A327),0)</f>
        <v>174065761209</v>
      </c>
      <c r="O327" s="89" t="str">
        <f t="shared" si="116"/>
        <v>S</v>
      </c>
    </row>
    <row r="328" spans="1:15" s="89" customFormat="1" x14ac:dyDescent="0.2">
      <c r="A328" s="68">
        <v>632400</v>
      </c>
      <c r="B328" s="77">
        <v>6324</v>
      </c>
      <c r="C328" s="77">
        <v>11</v>
      </c>
      <c r="D328" s="77" t="s">
        <v>514</v>
      </c>
      <c r="E328" s="77" t="s">
        <v>517</v>
      </c>
      <c r="F328" s="88">
        <v>0</v>
      </c>
      <c r="G328" s="88">
        <v>0</v>
      </c>
      <c r="H328" s="88">
        <v>0</v>
      </c>
      <c r="I328" s="88">
        <v>0</v>
      </c>
      <c r="J328" s="78">
        <v>0</v>
      </c>
      <c r="K328" s="78" t="e">
        <f>SUMIFS(#REF!,#REF!,MLS!A328)</f>
        <v>#REF!</v>
      </c>
      <c r="L328" s="78" t="e">
        <f>SUMIFS(#REF!,#REF!,MLS!A328)</f>
        <v>#REF!</v>
      </c>
      <c r="M328" s="88">
        <v>0</v>
      </c>
      <c r="N328" s="88">
        <f>ROUND(SUMIFS(TB_Convert!M:M,TB_Convert!A:A,A328),0)</f>
        <v>0</v>
      </c>
      <c r="O328" s="89" t="str">
        <f t="shared" si="116"/>
        <v>H</v>
      </c>
    </row>
    <row r="329" spans="1:15" s="89" customFormat="1" x14ac:dyDescent="0.2">
      <c r="A329" s="68">
        <v>632500</v>
      </c>
      <c r="B329" s="77">
        <v>6325</v>
      </c>
      <c r="C329" s="77">
        <v>11</v>
      </c>
      <c r="D329" s="77" t="s">
        <v>693</v>
      </c>
      <c r="E329" s="77" t="s">
        <v>483</v>
      </c>
      <c r="F329" s="88">
        <v>0</v>
      </c>
      <c r="G329" s="88">
        <v>0</v>
      </c>
      <c r="H329" s="88">
        <v>0</v>
      </c>
      <c r="I329" s="88">
        <v>0</v>
      </c>
      <c r="J329" s="78">
        <v>0</v>
      </c>
      <c r="K329" s="78" t="e">
        <f>SUMIFS(#REF!,#REF!,MLS!A329)</f>
        <v>#REF!</v>
      </c>
      <c r="L329" s="78" t="e">
        <f>SUMIFS(#REF!,#REF!,MLS!A329)</f>
        <v>#REF!</v>
      </c>
      <c r="M329" s="88">
        <v>0</v>
      </c>
      <c r="N329" s="88">
        <f>ROUND(SUMIFS(TB_Convert!M:M,TB_Convert!A:A,A329),0)</f>
        <v>0</v>
      </c>
      <c r="O329" s="89" t="str">
        <f t="shared" ref="O329:O386" si="147">IF(SUM(F329:J329)=0,"H","S")</f>
        <v>H</v>
      </c>
    </row>
    <row r="330" spans="1:15" x14ac:dyDescent="0.2">
      <c r="A330" s="118"/>
      <c r="B330" s="118"/>
      <c r="C330" s="118"/>
      <c r="D330" s="118" t="s">
        <v>455</v>
      </c>
      <c r="E330" s="118" t="s">
        <v>475</v>
      </c>
      <c r="F330" s="120">
        <v>173391531094</v>
      </c>
      <c r="G330" s="120">
        <v>0</v>
      </c>
      <c r="H330" s="120">
        <v>0</v>
      </c>
      <c r="I330" s="120">
        <v>173391531094</v>
      </c>
      <c r="J330" s="120">
        <v>173962271110</v>
      </c>
      <c r="K330" s="120" t="e">
        <f t="shared" ref="K330:M330" si="148">SUM(K325:K329)</f>
        <v>#REF!</v>
      </c>
      <c r="L330" s="120" t="e">
        <f t="shared" si="148"/>
        <v>#REF!</v>
      </c>
      <c r="M330" s="120">
        <v>173962271110</v>
      </c>
      <c r="N330" s="120">
        <f t="shared" ref="N330" si="149">SUM(N325:N329)</f>
        <v>174065761209</v>
      </c>
      <c r="O330" s="89" t="str">
        <f t="shared" si="147"/>
        <v>S</v>
      </c>
    </row>
    <row r="331" spans="1:15" x14ac:dyDescent="0.2">
      <c r="A331" s="93"/>
      <c r="B331" s="93"/>
      <c r="C331" s="93">
        <v>20</v>
      </c>
      <c r="D331" s="93" t="s">
        <v>773</v>
      </c>
      <c r="E331" s="93" t="s">
        <v>780</v>
      </c>
      <c r="F331" s="94">
        <v>-43275135574</v>
      </c>
      <c r="G331" s="94">
        <v>0</v>
      </c>
      <c r="H331" s="94">
        <v>0</v>
      </c>
      <c r="I331" s="94">
        <v>-43275135574</v>
      </c>
      <c r="J331" s="94">
        <v>-85704395558</v>
      </c>
      <c r="K331" s="94" t="e">
        <f t="shared" ref="K331:M331" si="150">SUM(K313:K318,K320:K322,K325:K329)</f>
        <v>#REF!</v>
      </c>
      <c r="L331" s="94" t="e">
        <f t="shared" si="150"/>
        <v>#REF!</v>
      </c>
      <c r="M331" s="94">
        <v>-85704395558</v>
      </c>
      <c r="N331" s="94">
        <f t="shared" ref="N331" si="151">SUM(N313:N318,N320:N322,N325:N329)</f>
        <v>-85600905459</v>
      </c>
      <c r="O331" s="89" t="str">
        <f t="shared" si="147"/>
        <v>S</v>
      </c>
    </row>
    <row r="332" spans="1:15" x14ac:dyDescent="0.2">
      <c r="A332" s="93"/>
      <c r="B332" s="93"/>
      <c r="C332" s="93"/>
      <c r="D332" s="93"/>
      <c r="E332" s="93"/>
      <c r="F332" s="121">
        <v>0.19973139495569395</v>
      </c>
      <c r="G332" s="121"/>
      <c r="H332" s="121"/>
      <c r="I332" s="121"/>
      <c r="J332" s="121">
        <v>0.33005543860421022</v>
      </c>
      <c r="K332" s="94"/>
      <c r="L332" s="94"/>
      <c r="M332" s="94"/>
      <c r="N332" s="94">
        <f>N331/N324</f>
        <v>0.32965688880061794</v>
      </c>
      <c r="O332" s="89" t="str">
        <f t="shared" si="147"/>
        <v>S</v>
      </c>
    </row>
    <row r="333" spans="1:15" s="89" customFormat="1" x14ac:dyDescent="0.2">
      <c r="A333" s="89">
        <v>515100</v>
      </c>
      <c r="B333" s="87">
        <v>5151</v>
      </c>
      <c r="C333" s="77">
        <v>21</v>
      </c>
      <c r="D333" s="87" t="s">
        <v>519</v>
      </c>
      <c r="E333" s="87" t="s">
        <v>524</v>
      </c>
      <c r="F333" s="88">
        <v>0</v>
      </c>
      <c r="G333" s="88">
        <v>0</v>
      </c>
      <c r="H333" s="88">
        <v>0</v>
      </c>
      <c r="I333" s="88">
        <v>0</v>
      </c>
      <c r="J333" s="78">
        <v>0</v>
      </c>
      <c r="K333" s="78" t="e">
        <f>SUMIFS(#REF!,#REF!,MLS!A333)</f>
        <v>#REF!</v>
      </c>
      <c r="L333" s="78" t="e">
        <f>SUMIFS(#REF!,#REF!,MLS!A333)</f>
        <v>#REF!</v>
      </c>
      <c r="M333" s="88">
        <v>0</v>
      </c>
      <c r="N333" s="88">
        <f>ROUND(SUMIFS(TB_Convert!M:M,TB_Convert!A:A,A333),0)</f>
        <v>0</v>
      </c>
      <c r="O333" s="89" t="str">
        <f t="shared" si="147"/>
        <v>H</v>
      </c>
    </row>
    <row r="334" spans="1:15" s="89" customFormat="1" x14ac:dyDescent="0.2">
      <c r="A334" s="89">
        <v>515200</v>
      </c>
      <c r="B334" s="87">
        <v>5152</v>
      </c>
      <c r="C334" s="77">
        <v>21</v>
      </c>
      <c r="D334" s="87" t="s">
        <v>522</v>
      </c>
      <c r="E334" s="87" t="s">
        <v>525</v>
      </c>
      <c r="F334" s="88">
        <v>0</v>
      </c>
      <c r="G334" s="88">
        <v>0</v>
      </c>
      <c r="H334" s="88">
        <v>0</v>
      </c>
      <c r="I334" s="88">
        <v>0</v>
      </c>
      <c r="J334" s="78">
        <v>0</v>
      </c>
      <c r="K334" s="78" t="e">
        <f>SUMIFS(#REF!,#REF!,MLS!A334)</f>
        <v>#REF!</v>
      </c>
      <c r="L334" s="78" t="e">
        <f>SUMIFS(#REF!,#REF!,MLS!A334)</f>
        <v>#REF!</v>
      </c>
      <c r="M334" s="88">
        <v>0</v>
      </c>
      <c r="N334" s="88">
        <f>ROUND(SUMIFS(TB_Convert!M:M,TB_Convert!A:A,A334),0)</f>
        <v>0</v>
      </c>
      <c r="O334" s="89" t="str">
        <f t="shared" si="147"/>
        <v>H</v>
      </c>
    </row>
    <row r="335" spans="1:15" s="89" customFormat="1" x14ac:dyDescent="0.2">
      <c r="A335" s="89">
        <v>515300</v>
      </c>
      <c r="B335" s="87">
        <v>5153</v>
      </c>
      <c r="C335" s="77">
        <v>21</v>
      </c>
      <c r="D335" s="87" t="s">
        <v>523</v>
      </c>
      <c r="E335" s="87" t="s">
        <v>526</v>
      </c>
      <c r="F335" s="88">
        <v>0</v>
      </c>
      <c r="G335" s="88">
        <v>0</v>
      </c>
      <c r="H335" s="88">
        <v>0</v>
      </c>
      <c r="I335" s="88">
        <v>0</v>
      </c>
      <c r="J335" s="78">
        <v>0</v>
      </c>
      <c r="K335" s="78" t="e">
        <f>SUMIFS(#REF!,#REF!,MLS!A335)</f>
        <v>#REF!</v>
      </c>
      <c r="L335" s="78" t="e">
        <f>SUMIFS(#REF!,#REF!,MLS!A335)</f>
        <v>#REF!</v>
      </c>
      <c r="M335" s="88">
        <v>0</v>
      </c>
      <c r="N335" s="88">
        <f>ROUND(SUMIFS(TB_Convert!M:M,TB_Convert!A:A,A335),0)</f>
        <v>0</v>
      </c>
      <c r="O335" s="89" t="str">
        <f t="shared" si="147"/>
        <v>H</v>
      </c>
    </row>
    <row r="336" spans="1:15" s="89" customFormat="1" x14ac:dyDescent="0.2">
      <c r="A336" s="89">
        <v>515400</v>
      </c>
      <c r="B336" s="87">
        <v>5154</v>
      </c>
      <c r="C336" s="77">
        <v>21</v>
      </c>
      <c r="D336" s="87" t="s">
        <v>520</v>
      </c>
      <c r="E336" s="87" t="s">
        <v>527</v>
      </c>
      <c r="F336" s="88">
        <v>0</v>
      </c>
      <c r="G336" s="88">
        <v>0</v>
      </c>
      <c r="H336" s="88">
        <v>0</v>
      </c>
      <c r="I336" s="88">
        <v>0</v>
      </c>
      <c r="J336" s="78">
        <v>0</v>
      </c>
      <c r="K336" s="78" t="e">
        <f>SUMIFS(#REF!,#REF!,MLS!A336)</f>
        <v>#REF!</v>
      </c>
      <c r="L336" s="78" t="e">
        <f>SUMIFS(#REF!,#REF!,MLS!A336)</f>
        <v>#REF!</v>
      </c>
      <c r="M336" s="88">
        <v>0</v>
      </c>
      <c r="N336" s="88">
        <f>ROUND(SUMIFS(TB_Convert!M:M,TB_Convert!A:A,A336),0)</f>
        <v>0</v>
      </c>
      <c r="O336" s="89" t="str">
        <f t="shared" si="147"/>
        <v>H</v>
      </c>
    </row>
    <row r="337" spans="1:15" s="89" customFormat="1" x14ac:dyDescent="0.2">
      <c r="A337" s="89">
        <v>515500</v>
      </c>
      <c r="B337" s="87">
        <v>5155</v>
      </c>
      <c r="C337" s="77">
        <v>21</v>
      </c>
      <c r="D337" s="87" t="s">
        <v>521</v>
      </c>
      <c r="E337" s="87" t="s">
        <v>528</v>
      </c>
      <c r="F337" s="88">
        <v>0</v>
      </c>
      <c r="G337" s="88">
        <v>0</v>
      </c>
      <c r="H337" s="88">
        <v>0</v>
      </c>
      <c r="I337" s="88">
        <v>0</v>
      </c>
      <c r="J337" s="78">
        <v>0</v>
      </c>
      <c r="K337" s="78" t="e">
        <f>SUMIFS(#REF!,#REF!,MLS!A337)</f>
        <v>#REF!</v>
      </c>
      <c r="L337" s="78" t="e">
        <f>SUMIFS(#REF!,#REF!,MLS!A337)</f>
        <v>#REF!</v>
      </c>
      <c r="M337" s="88">
        <v>0</v>
      </c>
      <c r="N337" s="88">
        <f>ROUND(SUMIFS(TB_Convert!M:M,TB_Convert!A:A,A337),0)</f>
        <v>0</v>
      </c>
      <c r="O337" s="89" t="str">
        <f t="shared" si="147"/>
        <v>H</v>
      </c>
    </row>
    <row r="338" spans="1:15" s="89" customFormat="1" x14ac:dyDescent="0.2">
      <c r="A338" s="89">
        <v>515600</v>
      </c>
      <c r="B338" s="87">
        <v>5156</v>
      </c>
      <c r="C338" s="77">
        <v>21</v>
      </c>
      <c r="D338" s="87" t="s">
        <v>265</v>
      </c>
      <c r="E338" s="87" t="s">
        <v>529</v>
      </c>
      <c r="F338" s="88">
        <v>-264925</v>
      </c>
      <c r="G338" s="88">
        <v>0</v>
      </c>
      <c r="H338" s="88">
        <v>0</v>
      </c>
      <c r="I338" s="88">
        <v>-264925</v>
      </c>
      <c r="J338" s="78">
        <v>-246551</v>
      </c>
      <c r="K338" s="78" t="e">
        <f>SUMIFS(#REF!,#REF!,MLS!A338)</f>
        <v>#REF!</v>
      </c>
      <c r="L338" s="78" t="e">
        <f>SUMIFS(#REF!,#REF!,MLS!A338)</f>
        <v>#REF!</v>
      </c>
      <c r="M338" s="88">
        <v>-246551</v>
      </c>
      <c r="N338" s="88">
        <f>ROUND(SUMIFS(TB_Convert!M:M,TB_Convert!A:A,A338),0)</f>
        <v>-131691</v>
      </c>
      <c r="O338" s="89" t="str">
        <f t="shared" si="147"/>
        <v>S</v>
      </c>
    </row>
    <row r="339" spans="1:15" x14ac:dyDescent="0.2">
      <c r="A339" s="118"/>
      <c r="B339" s="118"/>
      <c r="C339" s="118"/>
      <c r="D339" s="118" t="s">
        <v>457</v>
      </c>
      <c r="E339" s="118" t="s">
        <v>477</v>
      </c>
      <c r="F339" s="120">
        <v>-264925</v>
      </c>
      <c r="G339" s="120">
        <v>0</v>
      </c>
      <c r="H339" s="120">
        <v>0</v>
      </c>
      <c r="I339" s="120">
        <v>-264925</v>
      </c>
      <c r="J339" s="120">
        <v>-246551</v>
      </c>
      <c r="K339" s="120" t="e">
        <f t="shared" ref="K339:M339" si="152">SUM(K333:K338)</f>
        <v>#REF!</v>
      </c>
      <c r="L339" s="120" t="e">
        <f t="shared" si="152"/>
        <v>#REF!</v>
      </c>
      <c r="M339" s="120">
        <v>-246551</v>
      </c>
      <c r="N339" s="120">
        <f t="shared" ref="N339" si="153">SUM(N333:N338)</f>
        <v>-131691</v>
      </c>
      <c r="O339" s="89" t="str">
        <f t="shared" si="147"/>
        <v>S</v>
      </c>
    </row>
    <row r="340" spans="1:15" s="89" customFormat="1" x14ac:dyDescent="0.2">
      <c r="A340" s="89">
        <v>635100</v>
      </c>
      <c r="B340" s="87">
        <v>6351</v>
      </c>
      <c r="C340" s="77">
        <v>23</v>
      </c>
      <c r="D340" s="87" t="s">
        <v>530</v>
      </c>
      <c r="E340" s="87" t="s">
        <v>534</v>
      </c>
      <c r="F340" s="88">
        <v>0</v>
      </c>
      <c r="G340" s="88">
        <v>0</v>
      </c>
      <c r="H340" s="88">
        <v>0</v>
      </c>
      <c r="I340" s="88">
        <v>0</v>
      </c>
      <c r="J340" s="78">
        <v>0</v>
      </c>
      <c r="K340" s="78" t="e">
        <f>SUMIFS(#REF!,#REF!,MLS!A340)</f>
        <v>#REF!</v>
      </c>
      <c r="L340" s="78" t="e">
        <f>SUMIFS(#REF!,#REF!,MLS!A340)</f>
        <v>#REF!</v>
      </c>
      <c r="M340" s="88">
        <v>0</v>
      </c>
      <c r="N340" s="88">
        <f>ROUND(SUMIFS(TB_Convert!M:M,TB_Convert!A:A,A340),0)</f>
        <v>1200000000</v>
      </c>
      <c r="O340" s="89" t="str">
        <f t="shared" si="147"/>
        <v>H</v>
      </c>
    </row>
    <row r="341" spans="1:15" s="89" customFormat="1" x14ac:dyDescent="0.2">
      <c r="A341" s="89">
        <v>635200</v>
      </c>
      <c r="B341" s="87">
        <v>6352</v>
      </c>
      <c r="C341" s="77"/>
      <c r="D341" s="87" t="s">
        <v>538</v>
      </c>
      <c r="E341" s="87" t="s">
        <v>539</v>
      </c>
      <c r="F341" s="88">
        <v>0</v>
      </c>
      <c r="G341" s="88">
        <v>0</v>
      </c>
      <c r="H341" s="88">
        <v>0</v>
      </c>
      <c r="I341" s="88">
        <v>0</v>
      </c>
      <c r="J341" s="78">
        <v>0</v>
      </c>
      <c r="K341" s="78" t="e">
        <f>SUMIFS(#REF!,#REF!,MLS!A341)</f>
        <v>#REF!</v>
      </c>
      <c r="L341" s="78" t="e">
        <f>SUMIFS(#REF!,#REF!,MLS!A341)</f>
        <v>#REF!</v>
      </c>
      <c r="M341" s="88">
        <v>0</v>
      </c>
      <c r="N341" s="88">
        <f>ROUND(SUMIFS(TB_Convert!M:M,TB_Convert!A:A,A341),0)</f>
        <v>0</v>
      </c>
      <c r="O341" s="89" t="str">
        <f t="shared" si="147"/>
        <v>H</v>
      </c>
    </row>
    <row r="342" spans="1:15" s="89" customFormat="1" x14ac:dyDescent="0.2">
      <c r="A342" s="89">
        <v>635300</v>
      </c>
      <c r="B342" s="87">
        <v>6353</v>
      </c>
      <c r="C342" s="77"/>
      <c r="D342" s="87" t="s">
        <v>540</v>
      </c>
      <c r="E342" s="87" t="s">
        <v>541</v>
      </c>
      <c r="F342" s="88">
        <v>0</v>
      </c>
      <c r="G342" s="88">
        <v>0</v>
      </c>
      <c r="H342" s="88">
        <v>0</v>
      </c>
      <c r="I342" s="88">
        <v>0</v>
      </c>
      <c r="J342" s="78">
        <v>0</v>
      </c>
      <c r="K342" s="78" t="e">
        <f>SUMIFS(#REF!,#REF!,MLS!A342)</f>
        <v>#REF!</v>
      </c>
      <c r="L342" s="78" t="e">
        <f>SUMIFS(#REF!,#REF!,MLS!A342)</f>
        <v>#REF!</v>
      </c>
      <c r="M342" s="88">
        <v>0</v>
      </c>
      <c r="N342" s="88">
        <f>ROUND(SUMIFS(TB_Convert!M:M,TB_Convert!A:A,A342),0)</f>
        <v>0</v>
      </c>
      <c r="O342" s="89" t="str">
        <f t="shared" si="147"/>
        <v>H</v>
      </c>
    </row>
    <row r="343" spans="1:15" s="89" customFormat="1" x14ac:dyDescent="0.2">
      <c r="A343" s="89">
        <v>635400</v>
      </c>
      <c r="B343" s="87">
        <v>6354</v>
      </c>
      <c r="C343" s="77"/>
      <c r="D343" s="87" t="s">
        <v>531</v>
      </c>
      <c r="E343" s="87" t="s">
        <v>535</v>
      </c>
      <c r="F343" s="88">
        <v>0</v>
      </c>
      <c r="G343" s="88">
        <v>0</v>
      </c>
      <c r="H343" s="88">
        <v>0</v>
      </c>
      <c r="I343" s="88">
        <v>0</v>
      </c>
      <c r="J343" s="78">
        <v>0</v>
      </c>
      <c r="K343" s="78" t="e">
        <f>SUMIFS(#REF!,#REF!,MLS!A343)</f>
        <v>#REF!</v>
      </c>
      <c r="L343" s="78" t="e">
        <f>SUMIFS(#REF!,#REF!,MLS!A343)</f>
        <v>#REF!</v>
      </c>
      <c r="M343" s="88">
        <v>0</v>
      </c>
      <c r="N343" s="88">
        <f>ROUND(SUMIFS(TB_Convert!M:M,TB_Convert!A:A,A343),0)</f>
        <v>0</v>
      </c>
      <c r="O343" s="89" t="str">
        <f t="shared" si="147"/>
        <v>H</v>
      </c>
    </row>
    <row r="344" spans="1:15" s="89" customFormat="1" x14ac:dyDescent="0.2">
      <c r="A344" s="89">
        <v>635500</v>
      </c>
      <c r="B344" s="87">
        <v>6355</v>
      </c>
      <c r="C344" s="77"/>
      <c r="D344" s="87" t="s">
        <v>532</v>
      </c>
      <c r="E344" s="87" t="s">
        <v>536</v>
      </c>
      <c r="F344" s="88">
        <v>0</v>
      </c>
      <c r="G344" s="88">
        <v>0</v>
      </c>
      <c r="H344" s="88">
        <v>0</v>
      </c>
      <c r="I344" s="88">
        <v>0</v>
      </c>
      <c r="J344" s="78">
        <v>0</v>
      </c>
      <c r="K344" s="78" t="e">
        <f>SUMIFS(#REF!,#REF!,MLS!A344)</f>
        <v>#REF!</v>
      </c>
      <c r="L344" s="78" t="e">
        <f>SUMIFS(#REF!,#REF!,MLS!A344)</f>
        <v>#REF!</v>
      </c>
      <c r="M344" s="88">
        <v>0</v>
      </c>
      <c r="N344" s="88">
        <f>ROUND(SUMIFS(TB_Convert!M:M,TB_Convert!A:A,A344),0)</f>
        <v>0</v>
      </c>
      <c r="O344" s="89" t="str">
        <f t="shared" si="147"/>
        <v>H</v>
      </c>
    </row>
    <row r="345" spans="1:15" s="89" customFormat="1" x14ac:dyDescent="0.2">
      <c r="A345" s="89">
        <v>635600</v>
      </c>
      <c r="B345" s="87">
        <v>6356</v>
      </c>
      <c r="C345" s="77"/>
      <c r="D345" s="87" t="s">
        <v>533</v>
      </c>
      <c r="E345" s="87" t="s">
        <v>537</v>
      </c>
      <c r="F345" s="88">
        <v>0</v>
      </c>
      <c r="G345" s="88">
        <v>0</v>
      </c>
      <c r="H345" s="88">
        <v>0</v>
      </c>
      <c r="I345" s="88">
        <v>0</v>
      </c>
      <c r="J345" s="78">
        <v>0</v>
      </c>
      <c r="K345" s="78" t="e">
        <f>SUMIFS(#REF!,#REF!,MLS!A345)</f>
        <v>#REF!</v>
      </c>
      <c r="L345" s="78" t="e">
        <f>SUMIFS(#REF!,#REF!,MLS!A345)</f>
        <v>#REF!</v>
      </c>
      <c r="M345" s="88">
        <v>0</v>
      </c>
      <c r="N345" s="88">
        <f>ROUND(SUMIFS(TB_Convert!M:M,TB_Convert!A:A,A345),0)</f>
        <v>0</v>
      </c>
      <c r="O345" s="89" t="str">
        <f t="shared" si="147"/>
        <v>H</v>
      </c>
    </row>
    <row r="346" spans="1:15" x14ac:dyDescent="0.2">
      <c r="A346" s="118"/>
      <c r="B346" s="118"/>
      <c r="C346" s="118">
        <v>22</v>
      </c>
      <c r="D346" s="118" t="s">
        <v>458</v>
      </c>
      <c r="E346" s="118" t="s">
        <v>478</v>
      </c>
      <c r="F346" s="120">
        <v>0</v>
      </c>
      <c r="G346" s="120">
        <v>0</v>
      </c>
      <c r="H346" s="120">
        <v>0</v>
      </c>
      <c r="I346" s="120">
        <v>0</v>
      </c>
      <c r="J346" s="120">
        <v>0</v>
      </c>
      <c r="K346" s="120" t="e">
        <f t="shared" ref="K346:M346" si="154">SUM(K340:K345)</f>
        <v>#REF!</v>
      </c>
      <c r="L346" s="120" t="e">
        <f t="shared" si="154"/>
        <v>#REF!</v>
      </c>
      <c r="M346" s="120">
        <v>0</v>
      </c>
      <c r="N346" s="120">
        <f t="shared" ref="N346" si="155">SUM(N340:N345)</f>
        <v>1200000000</v>
      </c>
      <c r="O346" s="89" t="str">
        <f t="shared" si="147"/>
        <v>H</v>
      </c>
    </row>
    <row r="347" spans="1:15" x14ac:dyDescent="0.2">
      <c r="A347" s="118"/>
      <c r="B347" s="118"/>
      <c r="C347" s="118">
        <v>24</v>
      </c>
      <c r="D347" s="118" t="s">
        <v>459</v>
      </c>
      <c r="E347" s="118" t="s">
        <v>479</v>
      </c>
      <c r="F347" s="120"/>
      <c r="G347" s="120"/>
      <c r="H347" s="120"/>
      <c r="I347" s="120"/>
      <c r="J347" s="120"/>
      <c r="K347" s="120"/>
      <c r="L347" s="120"/>
      <c r="M347" s="120"/>
      <c r="N347" s="120"/>
      <c r="O347" s="89" t="str">
        <f t="shared" si="147"/>
        <v>H</v>
      </c>
    </row>
    <row r="348" spans="1:15" x14ac:dyDescent="0.2">
      <c r="A348" s="68">
        <v>641100</v>
      </c>
      <c r="B348" s="77">
        <v>6411</v>
      </c>
      <c r="C348" s="77">
        <v>25</v>
      </c>
      <c r="D348" s="77" t="s">
        <v>542</v>
      </c>
      <c r="E348" s="77" t="s">
        <v>543</v>
      </c>
      <c r="F348" s="78">
        <v>0</v>
      </c>
      <c r="G348" s="78">
        <v>0</v>
      </c>
      <c r="H348" s="78">
        <v>0</v>
      </c>
      <c r="I348" s="78">
        <v>0</v>
      </c>
      <c r="J348" s="78">
        <v>0</v>
      </c>
      <c r="K348" s="78" t="e">
        <f>SUMIFS(#REF!,#REF!,MLS!A348)</f>
        <v>#REF!</v>
      </c>
      <c r="L348" s="78" t="e">
        <f>SUMIFS(#REF!,#REF!,MLS!A348)</f>
        <v>#REF!</v>
      </c>
      <c r="M348" s="78">
        <v>0</v>
      </c>
      <c r="N348" s="78">
        <f>ROUND(SUMIFS(TB_Convert!M:M,TB_Convert!A:A,A348),0)</f>
        <v>0</v>
      </c>
      <c r="O348" s="89" t="str">
        <f t="shared" si="147"/>
        <v>H</v>
      </c>
    </row>
    <row r="349" spans="1:15" x14ac:dyDescent="0.2">
      <c r="A349" s="68">
        <v>641200</v>
      </c>
      <c r="B349" s="77">
        <v>6412</v>
      </c>
      <c r="C349" s="77">
        <v>25</v>
      </c>
      <c r="D349" s="77" t="s">
        <v>544</v>
      </c>
      <c r="E349" s="77" t="s">
        <v>545</v>
      </c>
      <c r="F349" s="78">
        <v>0</v>
      </c>
      <c r="G349" s="78">
        <v>0</v>
      </c>
      <c r="H349" s="78">
        <v>0</v>
      </c>
      <c r="I349" s="78">
        <v>0</v>
      </c>
      <c r="J349" s="78">
        <v>0</v>
      </c>
      <c r="K349" s="78" t="e">
        <f>SUMIFS(#REF!,#REF!,MLS!A349)</f>
        <v>#REF!</v>
      </c>
      <c r="L349" s="78" t="e">
        <f>SUMIFS(#REF!,#REF!,MLS!A349)</f>
        <v>#REF!</v>
      </c>
      <c r="M349" s="78">
        <v>0</v>
      </c>
      <c r="N349" s="78">
        <f>ROUND(SUMIFS(TB_Convert!M:M,TB_Convert!A:A,A349),0)</f>
        <v>0</v>
      </c>
      <c r="O349" s="89" t="str">
        <f t="shared" si="147"/>
        <v>H</v>
      </c>
    </row>
    <row r="350" spans="1:15" x14ac:dyDescent="0.2">
      <c r="A350" s="68">
        <v>641300</v>
      </c>
      <c r="B350" s="77">
        <v>6413</v>
      </c>
      <c r="C350" s="77">
        <v>25</v>
      </c>
      <c r="D350" s="77" t="s">
        <v>546</v>
      </c>
      <c r="E350" s="77" t="s">
        <v>547</v>
      </c>
      <c r="F350" s="78">
        <v>0</v>
      </c>
      <c r="G350" s="78">
        <v>0</v>
      </c>
      <c r="H350" s="78">
        <v>0</v>
      </c>
      <c r="I350" s="78">
        <v>0</v>
      </c>
      <c r="J350" s="78">
        <v>0</v>
      </c>
      <c r="K350" s="78" t="e">
        <f>SUMIFS(#REF!,#REF!,MLS!A350)</f>
        <v>#REF!</v>
      </c>
      <c r="L350" s="78" t="e">
        <f>SUMIFS(#REF!,#REF!,MLS!A350)</f>
        <v>#REF!</v>
      </c>
      <c r="M350" s="78">
        <v>0</v>
      </c>
      <c r="N350" s="78">
        <f>ROUND(SUMIFS(TB_Convert!M:M,TB_Convert!A:A,A350),0)</f>
        <v>0</v>
      </c>
      <c r="O350" s="89" t="str">
        <f t="shared" si="147"/>
        <v>H</v>
      </c>
    </row>
    <row r="351" spans="1:15" x14ac:dyDescent="0.2">
      <c r="A351" s="68">
        <v>641400</v>
      </c>
      <c r="B351" s="77">
        <v>6414</v>
      </c>
      <c r="C351" s="77">
        <v>25</v>
      </c>
      <c r="D351" s="77" t="s">
        <v>548</v>
      </c>
      <c r="E351" s="77" t="s">
        <v>549</v>
      </c>
      <c r="F351" s="78">
        <v>0</v>
      </c>
      <c r="G351" s="78">
        <v>0</v>
      </c>
      <c r="H351" s="78">
        <v>0</v>
      </c>
      <c r="I351" s="78">
        <v>0</v>
      </c>
      <c r="J351" s="78">
        <v>0</v>
      </c>
      <c r="K351" s="78" t="e">
        <f>SUMIFS(#REF!,#REF!,MLS!A351)</f>
        <v>#REF!</v>
      </c>
      <c r="L351" s="78" t="e">
        <f>SUMIFS(#REF!,#REF!,MLS!A351)</f>
        <v>#REF!</v>
      </c>
      <c r="M351" s="78">
        <v>0</v>
      </c>
      <c r="N351" s="78">
        <f>ROUND(SUMIFS(TB_Convert!M:M,TB_Convert!A:A,A351),0)</f>
        <v>0</v>
      </c>
      <c r="O351" s="89" t="str">
        <f t="shared" si="147"/>
        <v>H</v>
      </c>
    </row>
    <row r="352" spans="1:15" x14ac:dyDescent="0.2">
      <c r="A352" s="68">
        <v>641500</v>
      </c>
      <c r="B352" s="77">
        <v>6415</v>
      </c>
      <c r="C352" s="77">
        <v>25</v>
      </c>
      <c r="D352" s="77" t="s">
        <v>550</v>
      </c>
      <c r="E352" s="77" t="s">
        <v>551</v>
      </c>
      <c r="F352" s="78">
        <v>0</v>
      </c>
      <c r="G352" s="78">
        <v>0</v>
      </c>
      <c r="H352" s="78">
        <v>0</v>
      </c>
      <c r="I352" s="78">
        <v>0</v>
      </c>
      <c r="J352" s="78">
        <v>0</v>
      </c>
      <c r="K352" s="78" t="e">
        <f>SUMIFS(#REF!,#REF!,MLS!A352)</f>
        <v>#REF!</v>
      </c>
      <c r="L352" s="78" t="e">
        <f>SUMIFS(#REF!,#REF!,MLS!A352)</f>
        <v>#REF!</v>
      </c>
      <c r="M352" s="78">
        <v>0</v>
      </c>
      <c r="N352" s="78">
        <f>ROUND(SUMIFS(TB_Convert!M:M,TB_Convert!A:A,A352),0)</f>
        <v>0</v>
      </c>
      <c r="O352" s="89" t="str">
        <f t="shared" si="147"/>
        <v>H</v>
      </c>
    </row>
    <row r="353" spans="1:15" x14ac:dyDescent="0.2">
      <c r="A353" s="68">
        <v>641700</v>
      </c>
      <c r="B353" s="77">
        <v>6417</v>
      </c>
      <c r="C353" s="77">
        <v>25</v>
      </c>
      <c r="D353" s="77" t="s">
        <v>552</v>
      </c>
      <c r="E353" s="77" t="s">
        <v>553</v>
      </c>
      <c r="F353" s="78">
        <v>0</v>
      </c>
      <c r="G353" s="78">
        <v>0</v>
      </c>
      <c r="H353" s="78">
        <v>0</v>
      </c>
      <c r="I353" s="78">
        <v>0</v>
      </c>
      <c r="J353" s="78">
        <v>0</v>
      </c>
      <c r="K353" s="78" t="e">
        <f>SUMIFS(#REF!,#REF!,MLS!A353)</f>
        <v>#REF!</v>
      </c>
      <c r="L353" s="78" t="e">
        <f>SUMIFS(#REF!,#REF!,MLS!A353)</f>
        <v>#REF!</v>
      </c>
      <c r="M353" s="78">
        <v>0</v>
      </c>
      <c r="N353" s="78">
        <f>ROUND(SUMIFS(TB_Convert!M:M,TB_Convert!A:A,A353),0)</f>
        <v>0</v>
      </c>
      <c r="O353" s="89" t="str">
        <f t="shared" si="147"/>
        <v>H</v>
      </c>
    </row>
    <row r="354" spans="1:15" x14ac:dyDescent="0.2">
      <c r="A354" s="68">
        <v>641800</v>
      </c>
      <c r="B354" s="77">
        <v>6418</v>
      </c>
      <c r="C354" s="77">
        <v>25</v>
      </c>
      <c r="D354" s="77" t="s">
        <v>463</v>
      </c>
      <c r="E354" s="77" t="s">
        <v>554</v>
      </c>
      <c r="F354" s="78">
        <v>0</v>
      </c>
      <c r="G354" s="78">
        <v>0</v>
      </c>
      <c r="H354" s="78">
        <v>0</v>
      </c>
      <c r="I354" s="78">
        <v>0</v>
      </c>
      <c r="J354" s="78">
        <v>0</v>
      </c>
      <c r="K354" s="78" t="e">
        <f>SUMIFS(#REF!,#REF!,MLS!A354)</f>
        <v>#REF!</v>
      </c>
      <c r="L354" s="78" t="e">
        <f>SUMIFS(#REF!,#REF!,MLS!A354)</f>
        <v>#REF!</v>
      </c>
      <c r="M354" s="78">
        <v>0</v>
      </c>
      <c r="N354" s="78">
        <f>ROUND(SUMIFS(TB_Convert!M:M,TB_Convert!A:A,A354),0)</f>
        <v>0</v>
      </c>
      <c r="O354" s="89" t="str">
        <f t="shared" si="147"/>
        <v>H</v>
      </c>
    </row>
    <row r="355" spans="1:15" x14ac:dyDescent="0.2">
      <c r="A355" s="118"/>
      <c r="B355" s="118"/>
      <c r="C355" s="118"/>
      <c r="D355" s="118" t="s">
        <v>460</v>
      </c>
      <c r="E355" s="118" t="s">
        <v>480</v>
      </c>
      <c r="F355" s="120">
        <v>0</v>
      </c>
      <c r="G355" s="120">
        <v>0</v>
      </c>
      <c r="H355" s="120">
        <v>0</v>
      </c>
      <c r="I355" s="120">
        <v>0</v>
      </c>
      <c r="J355" s="120">
        <v>0</v>
      </c>
      <c r="K355" s="120" t="e">
        <f t="shared" ref="K355:M355" si="156">SUM(K348:K354)</f>
        <v>#REF!</v>
      </c>
      <c r="L355" s="120" t="e">
        <f t="shared" si="156"/>
        <v>#REF!</v>
      </c>
      <c r="M355" s="120">
        <v>0</v>
      </c>
      <c r="N355" s="120">
        <f t="shared" ref="N355" si="157">SUM(N348:N354)</f>
        <v>0</v>
      </c>
      <c r="O355" s="89" t="str">
        <f t="shared" si="147"/>
        <v>H</v>
      </c>
    </row>
    <row r="356" spans="1:15" s="89" customFormat="1" x14ac:dyDescent="0.2">
      <c r="A356" s="89">
        <v>642100</v>
      </c>
      <c r="B356" s="87">
        <v>6421</v>
      </c>
      <c r="C356" s="77">
        <v>26</v>
      </c>
      <c r="D356" s="87" t="s">
        <v>542</v>
      </c>
      <c r="E356" s="87" t="s">
        <v>555</v>
      </c>
      <c r="F356" s="88">
        <v>0</v>
      </c>
      <c r="G356" s="88">
        <v>0</v>
      </c>
      <c r="H356" s="88">
        <v>0</v>
      </c>
      <c r="I356" s="88">
        <v>0</v>
      </c>
      <c r="J356" s="78">
        <v>0</v>
      </c>
      <c r="K356" s="78" t="e">
        <f>SUMIFS(#REF!,#REF!,MLS!A356)</f>
        <v>#REF!</v>
      </c>
      <c r="L356" s="78" t="e">
        <f>SUMIFS(#REF!,#REF!,MLS!A356)</f>
        <v>#REF!</v>
      </c>
      <c r="M356" s="88">
        <v>0</v>
      </c>
      <c r="N356" s="88">
        <f>ROUND(SUMIFS(TB_Convert!M:M,TB_Convert!A:A,A356),0)</f>
        <v>0</v>
      </c>
      <c r="O356" s="89" t="str">
        <f t="shared" si="147"/>
        <v>H</v>
      </c>
    </row>
    <row r="357" spans="1:15" s="89" customFormat="1" x14ac:dyDescent="0.2">
      <c r="A357" s="89">
        <v>642200</v>
      </c>
      <c r="B357" s="87">
        <v>6422</v>
      </c>
      <c r="C357" s="77">
        <v>26</v>
      </c>
      <c r="D357" s="87" t="s">
        <v>556</v>
      </c>
      <c r="E357" s="87" t="s">
        <v>557</v>
      </c>
      <c r="F357" s="88">
        <v>0</v>
      </c>
      <c r="G357" s="88">
        <v>0</v>
      </c>
      <c r="H357" s="88">
        <v>0</v>
      </c>
      <c r="I357" s="88">
        <v>0</v>
      </c>
      <c r="J357" s="78">
        <v>0</v>
      </c>
      <c r="K357" s="78" t="e">
        <f>SUMIFS(#REF!,#REF!,MLS!A357)</f>
        <v>#REF!</v>
      </c>
      <c r="L357" s="78" t="e">
        <f>SUMIFS(#REF!,#REF!,MLS!A357)</f>
        <v>#REF!</v>
      </c>
      <c r="M357" s="88">
        <v>0</v>
      </c>
      <c r="N357" s="88">
        <f>ROUND(SUMIFS(TB_Convert!M:M,TB_Convert!A:A,A357),0)</f>
        <v>0</v>
      </c>
      <c r="O357" s="89" t="str">
        <f t="shared" si="147"/>
        <v>H</v>
      </c>
    </row>
    <row r="358" spans="1:15" s="89" customFormat="1" x14ac:dyDescent="0.2">
      <c r="A358" s="89">
        <v>642300</v>
      </c>
      <c r="B358" s="87">
        <v>6423</v>
      </c>
      <c r="C358" s="77">
        <v>26</v>
      </c>
      <c r="D358" s="87" t="s">
        <v>558</v>
      </c>
      <c r="E358" s="87" t="s">
        <v>559</v>
      </c>
      <c r="F358" s="88">
        <v>0</v>
      </c>
      <c r="G358" s="88">
        <v>0</v>
      </c>
      <c r="H358" s="88">
        <v>0</v>
      </c>
      <c r="I358" s="88">
        <v>0</v>
      </c>
      <c r="J358" s="78">
        <v>0</v>
      </c>
      <c r="K358" s="78" t="e">
        <f>SUMIFS(#REF!,#REF!,MLS!A358)</f>
        <v>#REF!</v>
      </c>
      <c r="L358" s="78" t="e">
        <f>SUMIFS(#REF!,#REF!,MLS!A358)</f>
        <v>#REF!</v>
      </c>
      <c r="M358" s="88">
        <v>0</v>
      </c>
      <c r="N358" s="88">
        <f>ROUND(SUMIFS(TB_Convert!M:M,TB_Convert!A:A,A358),0)</f>
        <v>0</v>
      </c>
      <c r="O358" s="89" t="str">
        <f t="shared" si="147"/>
        <v>H</v>
      </c>
    </row>
    <row r="359" spans="1:15" s="89" customFormat="1" x14ac:dyDescent="0.2">
      <c r="A359" s="89">
        <v>642400</v>
      </c>
      <c r="B359" s="87">
        <v>6424</v>
      </c>
      <c r="C359" s="77">
        <v>26</v>
      </c>
      <c r="D359" s="87" t="s">
        <v>548</v>
      </c>
      <c r="E359" s="87" t="s">
        <v>549</v>
      </c>
      <c r="F359" s="88">
        <v>0</v>
      </c>
      <c r="G359" s="88">
        <v>0</v>
      </c>
      <c r="H359" s="88">
        <v>0</v>
      </c>
      <c r="I359" s="88">
        <v>0</v>
      </c>
      <c r="J359" s="78">
        <v>0</v>
      </c>
      <c r="K359" s="78" t="e">
        <f>SUMIFS(#REF!,#REF!,MLS!A359)</f>
        <v>#REF!</v>
      </c>
      <c r="L359" s="78" t="e">
        <f>SUMIFS(#REF!,#REF!,MLS!A359)</f>
        <v>#REF!</v>
      </c>
      <c r="M359" s="88">
        <v>0</v>
      </c>
      <c r="N359" s="88">
        <f>ROUND(SUMIFS(TB_Convert!M:M,TB_Convert!A:A,A359),0)</f>
        <v>0</v>
      </c>
      <c r="O359" s="89" t="str">
        <f t="shared" si="147"/>
        <v>H</v>
      </c>
    </row>
    <row r="360" spans="1:15" s="89" customFormat="1" x14ac:dyDescent="0.2">
      <c r="A360" s="89">
        <v>642500</v>
      </c>
      <c r="B360" s="87">
        <v>6425</v>
      </c>
      <c r="C360" s="77">
        <v>26</v>
      </c>
      <c r="D360" s="87" t="s">
        <v>560</v>
      </c>
      <c r="E360" s="87" t="s">
        <v>561</v>
      </c>
      <c r="F360" s="88">
        <v>0</v>
      </c>
      <c r="G360" s="88">
        <v>0</v>
      </c>
      <c r="H360" s="88">
        <v>0</v>
      </c>
      <c r="I360" s="88">
        <v>0</v>
      </c>
      <c r="J360" s="78">
        <v>0</v>
      </c>
      <c r="K360" s="78" t="e">
        <f>SUMIFS(#REF!,#REF!,MLS!A360)</f>
        <v>#REF!</v>
      </c>
      <c r="L360" s="78" t="e">
        <f>SUMIFS(#REF!,#REF!,MLS!A360)</f>
        <v>#REF!</v>
      </c>
      <c r="M360" s="88">
        <v>0</v>
      </c>
      <c r="N360" s="88">
        <f>ROUND(SUMIFS(TB_Convert!M:M,TB_Convert!A:A,A360),0)</f>
        <v>0</v>
      </c>
      <c r="O360" s="89" t="str">
        <f t="shared" si="147"/>
        <v>H</v>
      </c>
    </row>
    <row r="361" spans="1:15" s="89" customFormat="1" x14ac:dyDescent="0.2">
      <c r="A361" s="89">
        <v>642600</v>
      </c>
      <c r="B361" s="87">
        <v>6426</v>
      </c>
      <c r="C361" s="77">
        <v>26</v>
      </c>
      <c r="D361" s="87" t="s">
        <v>562</v>
      </c>
      <c r="E361" s="87" t="s">
        <v>563</v>
      </c>
      <c r="F361" s="88">
        <v>0</v>
      </c>
      <c r="G361" s="88">
        <v>0</v>
      </c>
      <c r="H361" s="88">
        <v>0</v>
      </c>
      <c r="I361" s="88">
        <v>0</v>
      </c>
      <c r="J361" s="78">
        <v>0</v>
      </c>
      <c r="K361" s="78" t="e">
        <f>SUMIFS(#REF!,#REF!,MLS!A361)</f>
        <v>#REF!</v>
      </c>
      <c r="L361" s="78" t="e">
        <f>SUMIFS(#REF!,#REF!,MLS!A361)</f>
        <v>#REF!</v>
      </c>
      <c r="M361" s="88">
        <v>0</v>
      </c>
      <c r="N361" s="88">
        <f>ROUND(SUMIFS(TB_Convert!M:M,TB_Convert!A:A,A361),0)</f>
        <v>0</v>
      </c>
      <c r="O361" s="89" t="str">
        <f t="shared" si="147"/>
        <v>H</v>
      </c>
    </row>
    <row r="362" spans="1:15" s="89" customFormat="1" x14ac:dyDescent="0.2">
      <c r="A362" s="89">
        <v>642700</v>
      </c>
      <c r="B362" s="87">
        <v>6427</v>
      </c>
      <c r="C362" s="77">
        <v>26</v>
      </c>
      <c r="D362" s="87" t="s">
        <v>552</v>
      </c>
      <c r="E362" s="87" t="s">
        <v>553</v>
      </c>
      <c r="F362" s="88">
        <v>206180940</v>
      </c>
      <c r="G362" s="88">
        <v>0</v>
      </c>
      <c r="H362" s="88">
        <v>0</v>
      </c>
      <c r="I362" s="88">
        <v>206180940</v>
      </c>
      <c r="J362" s="78">
        <v>382036845</v>
      </c>
      <c r="K362" s="78" t="e">
        <f>SUMIFS(#REF!,#REF!,MLS!A362)</f>
        <v>#REF!</v>
      </c>
      <c r="L362" s="78" t="e">
        <f>SUMIFS(#REF!,#REF!,MLS!A362)</f>
        <v>#REF!</v>
      </c>
      <c r="M362" s="88">
        <v>459825325</v>
      </c>
      <c r="N362" s="88">
        <f>ROUND(SUMIFS(TB_Convert!M:M,TB_Convert!A:A,A362),0)</f>
        <v>5110399502</v>
      </c>
      <c r="O362" s="89" t="str">
        <f t="shared" si="147"/>
        <v>S</v>
      </c>
    </row>
    <row r="363" spans="1:15" s="89" customFormat="1" x14ac:dyDescent="0.2">
      <c r="A363" s="89">
        <v>642800</v>
      </c>
      <c r="B363" s="87">
        <v>6428</v>
      </c>
      <c r="C363" s="77">
        <v>26</v>
      </c>
      <c r="D363" s="87" t="s">
        <v>694</v>
      </c>
      <c r="E363" s="87" t="s">
        <v>554</v>
      </c>
      <c r="F363" s="88">
        <v>0</v>
      </c>
      <c r="G363" s="88">
        <v>0</v>
      </c>
      <c r="H363" s="88">
        <v>0</v>
      </c>
      <c r="I363" s="88">
        <v>0</v>
      </c>
      <c r="J363" s="78">
        <v>0</v>
      </c>
      <c r="K363" s="78" t="e">
        <f>SUMIFS(#REF!,#REF!,MLS!A363)</f>
        <v>#REF!</v>
      </c>
      <c r="L363" s="78" t="e">
        <f>SUMIFS(#REF!,#REF!,MLS!A363)</f>
        <v>#REF!</v>
      </c>
      <c r="M363" s="88">
        <v>0</v>
      </c>
      <c r="N363" s="88">
        <f>ROUND(SUMIFS(TB_Convert!M:M,TB_Convert!A:A,A363),0)</f>
        <v>0</v>
      </c>
      <c r="O363" s="89" t="str">
        <f t="shared" si="147"/>
        <v>H</v>
      </c>
    </row>
    <row r="364" spans="1:15" x14ac:dyDescent="0.2">
      <c r="A364" s="118"/>
      <c r="B364" s="118"/>
      <c r="C364" s="118"/>
      <c r="D364" s="118" t="s">
        <v>461</v>
      </c>
      <c r="E364" s="118" t="s">
        <v>481</v>
      </c>
      <c r="F364" s="120">
        <v>206180940</v>
      </c>
      <c r="G364" s="120">
        <v>0</v>
      </c>
      <c r="H364" s="120">
        <v>0</v>
      </c>
      <c r="I364" s="120">
        <v>206180940</v>
      </c>
      <c r="J364" s="120">
        <v>382036845</v>
      </c>
      <c r="K364" s="120" t="e">
        <f t="shared" ref="K364:M364" si="158">SUM(K356:K363)</f>
        <v>#REF!</v>
      </c>
      <c r="L364" s="120" t="e">
        <f t="shared" si="158"/>
        <v>#REF!</v>
      </c>
      <c r="M364" s="120">
        <v>459825325</v>
      </c>
      <c r="N364" s="120">
        <f t="shared" ref="N364" si="159">SUM(N356:N363)</f>
        <v>5110399502</v>
      </c>
      <c r="O364" s="89" t="str">
        <f t="shared" si="147"/>
        <v>S</v>
      </c>
    </row>
    <row r="365" spans="1:15" x14ac:dyDescent="0.2">
      <c r="A365" s="93"/>
      <c r="B365" s="93"/>
      <c r="C365" s="93">
        <v>30</v>
      </c>
      <c r="D365" s="93" t="s">
        <v>772</v>
      </c>
      <c r="E365" s="93" t="s">
        <v>779</v>
      </c>
      <c r="F365" s="94">
        <v>-43069219559</v>
      </c>
      <c r="G365" s="94">
        <v>0</v>
      </c>
      <c r="H365" s="94">
        <v>0</v>
      </c>
      <c r="I365" s="94">
        <v>-43069219559</v>
      </c>
      <c r="J365" s="94">
        <v>-85322605264</v>
      </c>
      <c r="K365" s="94" t="e">
        <f t="shared" ref="K365:M365" si="160">SUM(K331,K339,K346:K347,K355,K364)</f>
        <v>#REF!</v>
      </c>
      <c r="L365" s="94" t="e">
        <f t="shared" si="160"/>
        <v>#REF!</v>
      </c>
      <c r="M365" s="94">
        <v>-85244816784</v>
      </c>
      <c r="N365" s="94">
        <f t="shared" ref="N365" si="161">SUM(N331,N339,N346:N347,N355,N364)</f>
        <v>-79290637648</v>
      </c>
      <c r="O365" s="89" t="str">
        <f t="shared" si="147"/>
        <v>S</v>
      </c>
    </row>
    <row r="366" spans="1:15" s="89" customFormat="1" x14ac:dyDescent="0.2">
      <c r="A366" s="68">
        <v>711100</v>
      </c>
      <c r="B366" s="77">
        <v>7111</v>
      </c>
      <c r="C366" s="77">
        <v>31</v>
      </c>
      <c r="D366" s="87" t="s">
        <v>564</v>
      </c>
      <c r="E366" s="87" t="s">
        <v>565</v>
      </c>
      <c r="F366" s="88">
        <v>0</v>
      </c>
      <c r="G366" s="88">
        <v>0</v>
      </c>
      <c r="H366" s="88">
        <v>0</v>
      </c>
      <c r="I366" s="88">
        <v>0</v>
      </c>
      <c r="J366" s="78">
        <v>0</v>
      </c>
      <c r="K366" s="78" t="e">
        <f>SUMIFS(#REF!,#REF!,MLS!A366)</f>
        <v>#REF!</v>
      </c>
      <c r="L366" s="78" t="e">
        <f>SUMIFS(#REF!,#REF!,MLS!A366)</f>
        <v>#REF!</v>
      </c>
      <c r="M366" s="88">
        <v>0</v>
      </c>
      <c r="N366" s="88">
        <f>ROUND(SUMIFS(TB_Convert!M:M,TB_Convert!A:A,A366),0)</f>
        <v>0</v>
      </c>
      <c r="O366" s="89" t="str">
        <f t="shared" si="147"/>
        <v>H</v>
      </c>
    </row>
    <row r="367" spans="1:15" s="89" customFormat="1" x14ac:dyDescent="0.2">
      <c r="A367" s="68">
        <v>711200</v>
      </c>
      <c r="B367" s="77">
        <v>7112</v>
      </c>
      <c r="C367" s="77">
        <v>31</v>
      </c>
      <c r="D367" s="87" t="s">
        <v>462</v>
      </c>
      <c r="E367" s="87" t="s">
        <v>566</v>
      </c>
      <c r="F367" s="88">
        <v>-10165166</v>
      </c>
      <c r="G367" s="88">
        <v>0</v>
      </c>
      <c r="H367" s="88">
        <v>0</v>
      </c>
      <c r="I367" s="88">
        <v>-10165166</v>
      </c>
      <c r="J367" s="78">
        <v>0</v>
      </c>
      <c r="K367" s="78" t="e">
        <f>SUMIFS(#REF!,#REF!,MLS!A367)</f>
        <v>#REF!</v>
      </c>
      <c r="L367" s="78" t="e">
        <f>SUMIFS(#REF!,#REF!,MLS!A367)</f>
        <v>#REF!</v>
      </c>
      <c r="M367" s="88">
        <v>0</v>
      </c>
      <c r="N367" s="88">
        <f>ROUND(SUMIFS(TB_Convert!M:M,TB_Convert!A:A,A367),0)</f>
        <v>0</v>
      </c>
      <c r="O367" s="89" t="str">
        <f t="shared" si="147"/>
        <v>S</v>
      </c>
    </row>
    <row r="368" spans="1:15" x14ac:dyDescent="0.2">
      <c r="A368" s="122"/>
      <c r="B368" s="122"/>
      <c r="C368" s="122"/>
      <c r="D368" s="122" t="s">
        <v>462</v>
      </c>
      <c r="E368" s="122" t="s">
        <v>482</v>
      </c>
      <c r="F368" s="123">
        <v>-10165166</v>
      </c>
      <c r="G368" s="123">
        <v>0</v>
      </c>
      <c r="H368" s="123">
        <v>0</v>
      </c>
      <c r="I368" s="123">
        <v>-10165166</v>
      </c>
      <c r="J368" s="123">
        <v>0</v>
      </c>
      <c r="K368" s="123" t="e">
        <f t="shared" ref="K368:M368" si="162">SUM(K366:K367)</f>
        <v>#REF!</v>
      </c>
      <c r="L368" s="123" t="e">
        <f t="shared" si="162"/>
        <v>#REF!</v>
      </c>
      <c r="M368" s="123">
        <v>0</v>
      </c>
      <c r="N368" s="123">
        <f t="shared" ref="N368" si="163">SUM(N366:N367)</f>
        <v>0</v>
      </c>
      <c r="O368" s="89" t="str">
        <f t="shared" si="147"/>
        <v>S</v>
      </c>
    </row>
    <row r="369" spans="1:15" s="89" customFormat="1" x14ac:dyDescent="0.2">
      <c r="A369" s="68">
        <v>811100</v>
      </c>
      <c r="B369" s="77">
        <v>8111</v>
      </c>
      <c r="C369" s="77">
        <v>32</v>
      </c>
      <c r="D369" s="87" t="s">
        <v>567</v>
      </c>
      <c r="E369" s="87" t="s">
        <v>568</v>
      </c>
      <c r="F369" s="88">
        <v>0</v>
      </c>
      <c r="G369" s="88">
        <v>0</v>
      </c>
      <c r="H369" s="88">
        <v>0</v>
      </c>
      <c r="I369" s="88">
        <v>0</v>
      </c>
      <c r="J369" s="78">
        <v>0</v>
      </c>
      <c r="K369" s="78" t="e">
        <f>SUMIFS(#REF!,#REF!,MLS!A369)</f>
        <v>#REF!</v>
      </c>
      <c r="L369" s="78" t="e">
        <f>SUMIFS(#REF!,#REF!,MLS!A369)</f>
        <v>#REF!</v>
      </c>
      <c r="M369" s="88">
        <v>0</v>
      </c>
      <c r="N369" s="88">
        <f>ROUND(SUMIFS(TB_Convert!M:M,TB_Convert!A:A,A369),0)</f>
        <v>0</v>
      </c>
      <c r="O369" s="89" t="str">
        <f t="shared" si="147"/>
        <v>H</v>
      </c>
    </row>
    <row r="370" spans="1:15" s="89" customFormat="1" x14ac:dyDescent="0.2">
      <c r="A370" s="68">
        <v>811200</v>
      </c>
      <c r="B370" s="77">
        <v>8112</v>
      </c>
      <c r="C370" s="77">
        <v>32</v>
      </c>
      <c r="D370" s="87" t="s">
        <v>463</v>
      </c>
      <c r="E370" s="87" t="s">
        <v>566</v>
      </c>
      <c r="F370" s="88">
        <v>0</v>
      </c>
      <c r="G370" s="88">
        <v>0</v>
      </c>
      <c r="H370" s="88">
        <v>0</v>
      </c>
      <c r="I370" s="88">
        <v>0</v>
      </c>
      <c r="J370" s="78">
        <v>0</v>
      </c>
      <c r="K370" s="78" t="e">
        <f>SUMIFS(#REF!,#REF!,MLS!A370)</f>
        <v>#REF!</v>
      </c>
      <c r="L370" s="78" t="e">
        <f>SUMIFS(#REF!,#REF!,MLS!A370)</f>
        <v>#REF!</v>
      </c>
      <c r="M370" s="88">
        <v>0</v>
      </c>
      <c r="N370" s="88">
        <f>ROUND(SUMIFS(TB_Convert!M:M,TB_Convert!A:A,A370),0)</f>
        <v>0</v>
      </c>
      <c r="O370" s="89" t="str">
        <f t="shared" si="147"/>
        <v>H</v>
      </c>
    </row>
    <row r="371" spans="1:15" x14ac:dyDescent="0.2">
      <c r="A371" s="122"/>
      <c r="B371" s="122"/>
      <c r="C371" s="122"/>
      <c r="D371" s="122" t="s">
        <v>463</v>
      </c>
      <c r="E371" s="122" t="s">
        <v>483</v>
      </c>
      <c r="F371" s="123">
        <v>0</v>
      </c>
      <c r="G371" s="123">
        <v>0</v>
      </c>
      <c r="H371" s="123">
        <v>0</v>
      </c>
      <c r="I371" s="123">
        <v>0</v>
      </c>
      <c r="J371" s="123">
        <v>0</v>
      </c>
      <c r="K371" s="123" t="e">
        <f t="shared" ref="K371:M371" si="164">SUM(K369:K370)</f>
        <v>#REF!</v>
      </c>
      <c r="L371" s="123" t="e">
        <f t="shared" si="164"/>
        <v>#REF!</v>
      </c>
      <c r="M371" s="123">
        <v>0</v>
      </c>
      <c r="N371" s="123">
        <f t="shared" ref="N371" si="165">SUM(N369:N370)</f>
        <v>0</v>
      </c>
      <c r="O371" s="89" t="str">
        <f t="shared" si="147"/>
        <v>H</v>
      </c>
    </row>
    <row r="372" spans="1:15" x14ac:dyDescent="0.2">
      <c r="A372" s="93"/>
      <c r="B372" s="93"/>
      <c r="C372" s="93">
        <v>40</v>
      </c>
      <c r="D372" s="93" t="s">
        <v>464</v>
      </c>
      <c r="E372" s="93" t="s">
        <v>778</v>
      </c>
      <c r="F372" s="94">
        <v>-10165166</v>
      </c>
      <c r="G372" s="94">
        <v>0</v>
      </c>
      <c r="H372" s="94">
        <v>0</v>
      </c>
      <c r="I372" s="94">
        <v>-10165166</v>
      </c>
      <c r="J372" s="94">
        <v>0</v>
      </c>
      <c r="K372" s="94" t="e">
        <f t="shared" ref="K372:M372" si="166">K368+K371</f>
        <v>#REF!</v>
      </c>
      <c r="L372" s="94" t="e">
        <f t="shared" si="166"/>
        <v>#REF!</v>
      </c>
      <c r="M372" s="94">
        <v>0</v>
      </c>
      <c r="N372" s="94">
        <f t="shared" ref="N372" si="167">N368+N371</f>
        <v>0</v>
      </c>
      <c r="O372" s="89" t="str">
        <f t="shared" si="147"/>
        <v>S</v>
      </c>
    </row>
    <row r="373" spans="1:15" x14ac:dyDescent="0.2">
      <c r="A373" s="109"/>
      <c r="B373" s="109"/>
      <c r="C373" s="109">
        <v>50</v>
      </c>
      <c r="D373" s="109" t="s">
        <v>770</v>
      </c>
      <c r="E373" s="109" t="s">
        <v>777</v>
      </c>
      <c r="F373" s="110">
        <v>-43079384725</v>
      </c>
      <c r="G373" s="110">
        <v>0</v>
      </c>
      <c r="H373" s="110">
        <v>0</v>
      </c>
      <c r="I373" s="110">
        <v>-43079384725</v>
      </c>
      <c r="J373" s="110">
        <v>-85322605264</v>
      </c>
      <c r="K373" s="110" t="e">
        <f t="shared" ref="K373:M373" si="168">K365+K372</f>
        <v>#REF!</v>
      </c>
      <c r="L373" s="110" t="e">
        <f t="shared" si="168"/>
        <v>#REF!</v>
      </c>
      <c r="M373" s="110">
        <v>-85244816784</v>
      </c>
      <c r="N373" s="110">
        <f t="shared" ref="N373" si="169">N365+N372</f>
        <v>-79290637648</v>
      </c>
      <c r="O373" s="89" t="str">
        <f t="shared" si="147"/>
        <v>S</v>
      </c>
    </row>
    <row r="374" spans="1:15" x14ac:dyDescent="0.2">
      <c r="A374" s="80">
        <v>821100</v>
      </c>
      <c r="B374" s="80">
        <v>8211</v>
      </c>
      <c r="C374" s="80">
        <v>51</v>
      </c>
      <c r="D374" s="80" t="s">
        <v>465</v>
      </c>
      <c r="E374" s="80" t="s">
        <v>485</v>
      </c>
      <c r="F374" s="81">
        <v>0</v>
      </c>
      <c r="G374" s="81">
        <v>0</v>
      </c>
      <c r="H374" s="81">
        <v>0</v>
      </c>
      <c r="I374" s="81">
        <v>0</v>
      </c>
      <c r="J374" s="81">
        <v>0</v>
      </c>
      <c r="K374" s="338" t="e">
        <f>SUMIFS(#REF!,#REF!,MLS!A374)</f>
        <v>#REF!</v>
      </c>
      <c r="L374" s="338" t="e">
        <f>SUMIFS(#REF!,#REF!,MLS!A374)</f>
        <v>#REF!</v>
      </c>
      <c r="M374" s="81">
        <v>0</v>
      </c>
      <c r="N374" s="81">
        <f>ROUND(SUMIFS(TB_Convert!M:M,TB_Convert!A:A,A374),0)</f>
        <v>6058127530</v>
      </c>
      <c r="O374" s="89" t="str">
        <f t="shared" si="147"/>
        <v>H</v>
      </c>
    </row>
    <row r="375" spans="1:15" x14ac:dyDescent="0.2">
      <c r="A375" s="80">
        <v>821200</v>
      </c>
      <c r="B375" s="80">
        <v>8212</v>
      </c>
      <c r="C375" s="80">
        <v>52</v>
      </c>
      <c r="D375" s="80" t="s">
        <v>466</v>
      </c>
      <c r="E375" s="80" t="s">
        <v>486</v>
      </c>
      <c r="F375" s="81">
        <v>0</v>
      </c>
      <c r="G375" s="81">
        <v>0</v>
      </c>
      <c r="H375" s="81">
        <v>0</v>
      </c>
      <c r="I375" s="81">
        <v>0</v>
      </c>
      <c r="J375" s="81">
        <v>0</v>
      </c>
      <c r="K375" s="338" t="e">
        <f>SUMIFS(#REF!,#REF!,MLS!A375)</f>
        <v>#REF!</v>
      </c>
      <c r="L375" s="338" t="e">
        <f>SUMIFS(#REF!,#REF!,MLS!A375)</f>
        <v>#REF!</v>
      </c>
      <c r="M375" s="81">
        <v>0</v>
      </c>
      <c r="N375" s="81">
        <f>ROUND(SUMIFS(TB_Convert!M:M,TB_Convert!A:A,A375),0)</f>
        <v>0</v>
      </c>
      <c r="O375" s="89" t="str">
        <f t="shared" si="147"/>
        <v>H</v>
      </c>
    </row>
    <row r="376" spans="1:15" x14ac:dyDescent="0.2">
      <c r="A376" s="109"/>
      <c r="B376" s="109"/>
      <c r="C376" s="109">
        <v>60</v>
      </c>
      <c r="D376" s="109" t="s">
        <v>771</v>
      </c>
      <c r="E376" s="109" t="s">
        <v>776</v>
      </c>
      <c r="F376" s="110">
        <v>-43079384725</v>
      </c>
      <c r="G376" s="110">
        <v>0</v>
      </c>
      <c r="H376" s="110">
        <v>0</v>
      </c>
      <c r="I376" s="110">
        <v>-43079384725</v>
      </c>
      <c r="J376" s="110">
        <v>-85322605264</v>
      </c>
      <c r="K376" s="110" t="e">
        <f t="shared" ref="K376:M376" si="170">SUM(K373:K375)</f>
        <v>#REF!</v>
      </c>
      <c r="L376" s="110" t="e">
        <f t="shared" si="170"/>
        <v>#REF!</v>
      </c>
      <c r="M376" s="110">
        <v>-85244816784</v>
      </c>
      <c r="N376" s="110">
        <f t="shared" ref="N376" si="171">SUM(N373:N375)</f>
        <v>-73232510118</v>
      </c>
      <c r="O376" s="89" t="str">
        <f t="shared" si="147"/>
        <v>S</v>
      </c>
    </row>
    <row r="377" spans="1:15" ht="12.75" thickBot="1" x14ac:dyDescent="0.25">
      <c r="A377" s="124"/>
      <c r="B377" s="124"/>
      <c r="C377" s="124"/>
      <c r="D377" s="124"/>
      <c r="E377" s="124"/>
      <c r="F377" s="125"/>
      <c r="G377" s="125"/>
      <c r="H377" s="125"/>
      <c r="I377" s="125"/>
      <c r="J377" s="125"/>
      <c r="K377" s="125"/>
      <c r="L377" s="125"/>
      <c r="M377" s="125"/>
      <c r="N377" s="125"/>
      <c r="O377" s="89" t="str">
        <f t="shared" si="147"/>
        <v>H</v>
      </c>
    </row>
    <row r="378" spans="1:15" x14ac:dyDescent="0.2">
      <c r="D378" s="77" t="s">
        <v>467</v>
      </c>
      <c r="E378" s="77" t="s">
        <v>487</v>
      </c>
      <c r="O378" s="89" t="str">
        <f t="shared" si="147"/>
        <v>H</v>
      </c>
    </row>
    <row r="379" spans="1:15" x14ac:dyDescent="0.2">
      <c r="C379" s="68">
        <v>61</v>
      </c>
      <c r="D379" s="68" t="s">
        <v>468</v>
      </c>
      <c r="E379" s="68" t="s">
        <v>488</v>
      </c>
      <c r="O379" s="89" t="str">
        <f t="shared" si="147"/>
        <v>H</v>
      </c>
    </row>
    <row r="380" spans="1:15" x14ac:dyDescent="0.2">
      <c r="C380" s="68">
        <v>62</v>
      </c>
      <c r="D380" s="68" t="s">
        <v>108</v>
      </c>
      <c r="E380" s="68" t="s">
        <v>489</v>
      </c>
      <c r="O380" s="89" t="str">
        <f t="shared" si="147"/>
        <v>H</v>
      </c>
    </row>
    <row r="381" spans="1:15" x14ac:dyDescent="0.2">
      <c r="O381" s="89" t="str">
        <f t="shared" si="147"/>
        <v>H</v>
      </c>
    </row>
    <row r="382" spans="1:15" x14ac:dyDescent="0.2">
      <c r="D382" s="77" t="s">
        <v>469</v>
      </c>
      <c r="E382" s="77" t="s">
        <v>490</v>
      </c>
      <c r="O382" s="89" t="str">
        <f t="shared" si="147"/>
        <v>H</v>
      </c>
    </row>
    <row r="383" spans="1:15" x14ac:dyDescent="0.2">
      <c r="C383" s="68">
        <v>70</v>
      </c>
      <c r="D383" s="68" t="s">
        <v>470</v>
      </c>
      <c r="E383" s="68" t="s">
        <v>491</v>
      </c>
      <c r="O383" s="89" t="str">
        <f t="shared" si="147"/>
        <v>H</v>
      </c>
    </row>
    <row r="384" spans="1:15" ht="12.75" thickBot="1" x14ac:dyDescent="0.25">
      <c r="A384" s="124"/>
      <c r="B384" s="124"/>
      <c r="C384" s="124">
        <v>71</v>
      </c>
      <c r="D384" s="124" t="s">
        <v>471</v>
      </c>
      <c r="E384" s="124" t="s">
        <v>492</v>
      </c>
      <c r="F384" s="125"/>
      <c r="G384" s="125"/>
      <c r="H384" s="125"/>
      <c r="I384" s="125"/>
      <c r="J384" s="125"/>
      <c r="K384" s="125"/>
      <c r="L384" s="125"/>
      <c r="M384" s="125"/>
      <c r="N384" s="125"/>
      <c r="O384" s="89" t="str">
        <f t="shared" si="147"/>
        <v>H</v>
      </c>
    </row>
    <row r="385" spans="1:15" ht="12.75" thickBot="1" x14ac:dyDescent="0.25">
      <c r="A385" s="126"/>
      <c r="B385" s="126"/>
      <c r="C385" s="126"/>
      <c r="D385" s="126"/>
      <c r="E385" s="126"/>
      <c r="F385" s="127"/>
      <c r="G385" s="127"/>
      <c r="H385" s="127"/>
      <c r="I385" s="127"/>
      <c r="J385" s="127"/>
      <c r="K385" s="127"/>
      <c r="L385" s="127"/>
      <c r="M385" s="127"/>
      <c r="N385" s="127"/>
      <c r="O385" s="89" t="str">
        <f t="shared" si="147"/>
        <v>H</v>
      </c>
    </row>
    <row r="386" spans="1:15" x14ac:dyDescent="0.2">
      <c r="A386" s="128" t="s">
        <v>569</v>
      </c>
      <c r="B386" s="128"/>
      <c r="C386" s="128"/>
      <c r="D386" s="128"/>
      <c r="E386" s="128"/>
      <c r="F386" s="129" t="s">
        <v>803</v>
      </c>
      <c r="G386" s="129">
        <v>37643477124</v>
      </c>
      <c r="H386" s="129">
        <v>-37643477124</v>
      </c>
      <c r="I386" s="129" t="s">
        <v>803</v>
      </c>
      <c r="J386" s="129" t="s">
        <v>803</v>
      </c>
      <c r="K386" s="129" t="e">
        <f t="shared" ref="K386:M386" si="172">IF((K310+K201)=0,"Balanced",K310+K201)</f>
        <v>#REF!</v>
      </c>
      <c r="L386" s="129" t="e">
        <f t="shared" si="172"/>
        <v>#REF!</v>
      </c>
      <c r="M386" s="129" t="str">
        <f t="shared" si="172"/>
        <v>Balanced</v>
      </c>
      <c r="N386" s="129" t="str">
        <f t="shared" ref="N386" ca="1" si="173">IF((N310+N201)=0,"Balanced",N310+N201)</f>
        <v>Balanced</v>
      </c>
      <c r="O386" s="89" t="str">
        <f t="shared" si="147"/>
        <v>H</v>
      </c>
    </row>
    <row r="387" spans="1:15" ht="12.75" thickBot="1" x14ac:dyDescent="0.25">
      <c r="A387" s="130"/>
      <c r="B387" s="130"/>
      <c r="C387" s="130"/>
      <c r="D387" s="130"/>
      <c r="E387" s="130"/>
      <c r="F387" s="71">
        <v>0</v>
      </c>
      <c r="G387" s="71">
        <v>0</v>
      </c>
      <c r="H387" s="71">
        <v>0</v>
      </c>
      <c r="I387" s="71">
        <v>0</v>
      </c>
      <c r="J387" s="71">
        <v>0</v>
      </c>
      <c r="K387" s="71" t="e">
        <f t="shared" ref="K387:M387" si="174">K376-K298</f>
        <v>#REF!</v>
      </c>
      <c r="L387" s="71" t="e">
        <f t="shared" si="174"/>
        <v>#REF!</v>
      </c>
      <c r="M387" s="71">
        <f t="shared" si="174"/>
        <v>0</v>
      </c>
      <c r="N387" s="71">
        <f t="shared" ref="N387" si="175">N376-N298</f>
        <v>0</v>
      </c>
    </row>
  </sheetData>
  <autoFilter ref="A5:O387"/>
  <customSheetViews>
    <customSheetView guid="{7D77170C-09CD-4EEC-BB83-B3AA6C853D06}" showPageBreaks="1" fitToPage="1" printArea="1" showAutoFilter="1" hiddenColumns="1" topLeftCell="A4">
      <pane xSplit="4" ySplit="3" topLeftCell="CT333" activePane="bottomRight" state="frozen"/>
      <selection pane="bottomRight" activeCell="W12" sqref="W12"/>
      <pageMargins left="0.7" right="0.7" top="0.75" bottom="0.75" header="0.3" footer="0.3"/>
      <pageSetup scale="17" fitToHeight="7" orientation="landscape" r:id="rId1"/>
      <autoFilter ref="A7:DA392"/>
    </customSheetView>
    <customSheetView guid="{A802F8BE-E184-4275-8F47-F417811C9A4E}" showPageBreaks="1" fitToPage="1" printArea="1" showAutoFilter="1" hiddenColumns="1" view="pageBreakPreview">
      <pane xSplit="4" ySplit="7" topLeftCell="L369" activePane="bottomRight" state="frozen"/>
      <selection pane="bottomRight" activeCell="AK377" sqref="AK377"/>
      <pageMargins left="0.7" right="0.7" top="0.75" bottom="0.75" header="0.3" footer="0.3"/>
      <pageSetup scale="44" fitToHeight="7" orientation="landscape" r:id="rId2"/>
      <autoFilter ref="A7:AL378"/>
    </customSheetView>
    <customSheetView guid="{0796A30C-2FFF-4A21-B2AE-A5991690F213}" showPageBreaks="1" fitToPage="1" printArea="1" showAutoFilter="1" hiddenColumns="1" view="pageBreakPreview">
      <pane xSplit="4" ySplit="7" topLeftCell="AG63" activePane="bottomRight" state="frozen"/>
      <selection pane="bottomRight" activeCell="AK78" sqref="AK78"/>
      <pageMargins left="0.7" right="0.7" top="0.75" bottom="0.75" header="0.3" footer="0.3"/>
      <pageSetup scale="26" fitToHeight="7" orientation="landscape" r:id="rId3"/>
      <autoFilter ref="A7:AL378"/>
    </customSheetView>
    <customSheetView guid="{4E825B2D-08AF-434A-8916-FE9D1F47F8D7}" fitToPage="1" showAutoFilter="1" hiddenColumns="1">
      <pane xSplit="36" ySplit="6" topLeftCell="BU8" activePane="bottomRight" state="frozen"/>
      <selection pane="bottomRight" activeCell="BX26" sqref="BX26"/>
      <pageMargins left="0.7" right="0.7" top="0.75" bottom="0.75" header="0.3" footer="0.3"/>
      <pageSetup scale="10" fitToHeight="7" orientation="landscape" r:id="rId4"/>
      <autoFilter ref="A7:DA392"/>
    </customSheetView>
    <customSheetView guid="{A3D7BE5A-A938-4021-A801-1DAF67AB037C}" fitToPage="1" showAutoFilter="1" hiddenColumns="1">
      <pane xSplit="36" ySplit="6" topLeftCell="BZ35" activePane="bottomRight" state="frozen"/>
      <selection pane="bottomRight" activeCell="BZ45" sqref="BZ45"/>
      <pageMargins left="0.7" right="0.7" top="0.75" bottom="0.75" header="0.3" footer="0.3"/>
      <pageSetup scale="10" fitToHeight="7" orientation="landscape" r:id="rId5"/>
      <autoFilter ref="A7:DA392"/>
    </customSheetView>
    <customSheetView guid="{431ED707-2363-4119-8E0B-F4208B03A2D2}" showPageBreaks="1" fitToPage="1" printArea="1" showAutoFilter="1" hiddenColumns="1">
      <pane xSplit="46" ySplit="6" topLeftCell="CS114" activePane="bottomRight" state="frozen"/>
      <selection pane="bottomRight" activeCell="CV126" sqref="CV125:CV126"/>
      <pageMargins left="0.7" right="0.7" top="0.75" bottom="0.75" header="0.3" footer="0.3"/>
      <pageSetup scale="37" fitToHeight="7" orientation="landscape" r:id="rId6"/>
      <autoFilter ref="A7:DA392"/>
    </customSheetView>
  </customSheetViews>
  <pageMargins left="0.7" right="0.7" top="0.75" bottom="0.75" header="0.3" footer="0.3"/>
  <pageSetup scale="60" fitToHeight="7"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41"/>
  <sheetViews>
    <sheetView showGridLines="0" view="pageBreakPreview" zoomScale="115" zoomScaleNormal="100" zoomScaleSheetLayoutView="115" workbookViewId="0">
      <selection activeCell="F1" sqref="F1"/>
    </sheetView>
  </sheetViews>
  <sheetFormatPr defaultColWidth="9.140625" defaultRowHeight="12" x14ac:dyDescent="0.2"/>
  <cols>
    <col min="1" max="1" width="26.28515625" style="68" customWidth="1"/>
    <col min="2" max="2" width="30" style="68" customWidth="1"/>
    <col min="3" max="4" width="8.5703125" style="68" customWidth="1"/>
    <col min="5" max="5" width="5.5703125" style="68" hidden="1" customWidth="1"/>
    <col min="6" max="7" width="19.85546875" style="68" customWidth="1"/>
    <col min="8" max="8" width="19.85546875" style="68" hidden="1" customWidth="1"/>
    <col min="9" max="9" width="19.85546875" style="68" customWidth="1"/>
    <col min="10" max="12" width="16.42578125" style="68" customWidth="1"/>
    <col min="13" max="14" width="13.85546875" style="68" bestFit="1" customWidth="1"/>
    <col min="15" max="16384" width="9.140625" style="68"/>
  </cols>
  <sheetData>
    <row r="1" spans="1:14" ht="18" customHeight="1" x14ac:dyDescent="0.2">
      <c r="A1" s="70" t="str">
        <f>BC_TinhHinh_TaiChinh!B1</f>
        <v>Công ty ABC</v>
      </c>
      <c r="B1" s="70"/>
      <c r="E1" s="232" t="s">
        <v>587</v>
      </c>
      <c r="F1" s="233" t="s">
        <v>584</v>
      </c>
      <c r="G1" s="233" t="s">
        <v>584</v>
      </c>
      <c r="H1" s="233" t="s">
        <v>584</v>
      </c>
      <c r="I1" s="233"/>
      <c r="J1" s="180"/>
      <c r="K1" s="180"/>
      <c r="L1" s="180"/>
    </row>
    <row r="2" spans="1:14" ht="12.75" thickBot="1" x14ac:dyDescent="0.25">
      <c r="A2" s="70" t="s">
        <v>1101</v>
      </c>
      <c r="B2" s="70"/>
      <c r="E2" s="234"/>
      <c r="J2" s="180"/>
      <c r="K2" s="180"/>
      <c r="L2" s="180"/>
    </row>
    <row r="3" spans="1:14" ht="12.75" thickBot="1" x14ac:dyDescent="0.25">
      <c r="E3" s="234"/>
      <c r="F3" s="235" t="s">
        <v>801</v>
      </c>
      <c r="G3" s="235" t="s">
        <v>801</v>
      </c>
      <c r="H3" s="235" t="s">
        <v>801</v>
      </c>
      <c r="I3" s="236"/>
      <c r="J3" s="180"/>
      <c r="K3" s="180"/>
      <c r="L3" s="180"/>
    </row>
    <row r="4" spans="1:14" s="95" customFormat="1" ht="12.75" thickBot="1" x14ac:dyDescent="0.25">
      <c r="E4" s="237"/>
      <c r="F4" s="238">
        <v>2020</v>
      </c>
      <c r="G4" s="238">
        <v>2019</v>
      </c>
      <c r="H4" s="238">
        <v>2018</v>
      </c>
      <c r="I4" s="239"/>
    </row>
    <row r="5" spans="1:14" s="95" customFormat="1" ht="35.25" customHeight="1" thickBot="1" x14ac:dyDescent="0.25">
      <c r="A5" s="240" t="s">
        <v>313</v>
      </c>
      <c r="B5" s="240" t="s">
        <v>314</v>
      </c>
      <c r="C5" s="241" t="s">
        <v>571</v>
      </c>
      <c r="D5" s="241" t="s">
        <v>781</v>
      </c>
      <c r="E5" s="241" t="s">
        <v>585</v>
      </c>
      <c r="F5" s="240" t="s">
        <v>586</v>
      </c>
      <c r="G5" s="240" t="s">
        <v>1096</v>
      </c>
      <c r="H5" s="240" t="s">
        <v>586</v>
      </c>
      <c r="I5" s="240"/>
      <c r="J5" s="181" t="s">
        <v>575</v>
      </c>
      <c r="K5" s="181" t="s">
        <v>575</v>
      </c>
      <c r="L5" s="181" t="s">
        <v>575</v>
      </c>
    </row>
    <row r="6" spans="1:14" s="95" customFormat="1" x14ac:dyDescent="0.2">
      <c r="A6" s="242"/>
      <c r="B6" s="242"/>
      <c r="C6" s="243"/>
      <c r="D6" s="243"/>
      <c r="E6" s="243"/>
      <c r="F6" s="242"/>
      <c r="G6" s="242"/>
      <c r="H6" s="242"/>
      <c r="I6" s="242"/>
      <c r="J6" s="182">
        <f ca="1">SUM(J7:J1048576)</f>
        <v>0</v>
      </c>
      <c r="K6" s="182">
        <f ca="1">SUM(K7:K1048576)</f>
        <v>0</v>
      </c>
      <c r="L6" s="182">
        <f>SUM(L7:L1048576)</f>
        <v>0</v>
      </c>
    </row>
    <row r="7" spans="1:14" s="95" customFormat="1" x14ac:dyDescent="0.2">
      <c r="A7" s="244"/>
      <c r="B7" s="244"/>
      <c r="C7" s="243"/>
      <c r="D7" s="243"/>
      <c r="E7" s="243"/>
      <c r="F7" s="242"/>
      <c r="G7" s="242"/>
      <c r="H7" s="242"/>
      <c r="I7" s="242"/>
      <c r="J7" s="183"/>
      <c r="K7" s="183"/>
      <c r="L7" s="183"/>
    </row>
    <row r="8" spans="1:14" s="95" customFormat="1" ht="24" x14ac:dyDescent="0.2">
      <c r="A8" s="245" t="s">
        <v>452</v>
      </c>
      <c r="B8" s="246" t="s">
        <v>472</v>
      </c>
      <c r="C8" s="247">
        <v>1</v>
      </c>
      <c r="D8" s="247"/>
      <c r="E8" s="248">
        <v>-1</v>
      </c>
      <c r="F8" s="249">
        <f ca="1">SUMIF(MLS!$C$8:$M$376,BC_KQKD!C8,MLS!$N$8:$N$376)*E8</f>
        <v>259666666668</v>
      </c>
      <c r="G8" s="249">
        <f ca="1">SUMIF(MLS!$C$8:$M$376,BC_KQKD!C8,MLS!$M$8:$M$376)*E8</f>
        <v>259666666668</v>
      </c>
      <c r="H8" s="249">
        <f>SUMIFS(MLS!$I:$I,MLS!$C:$C,BC_KQKD!C8)*BC_KQKD!E8</f>
        <v>216666666668</v>
      </c>
      <c r="I8" s="250"/>
      <c r="J8" s="183"/>
      <c r="K8" s="183"/>
      <c r="L8" s="183"/>
      <c r="M8" s="349">
        <v>259666666668</v>
      </c>
      <c r="N8" s="349">
        <v>216666666668</v>
      </c>
    </row>
    <row r="9" spans="1:14" s="95" customFormat="1" x14ac:dyDescent="0.2">
      <c r="A9" s="245"/>
      <c r="B9" s="246"/>
      <c r="C9" s="243"/>
      <c r="D9" s="243"/>
      <c r="E9" s="243"/>
      <c r="F9" s="249"/>
      <c r="G9" s="249"/>
      <c r="H9" s="249"/>
      <c r="I9" s="249"/>
      <c r="J9" s="184"/>
      <c r="K9" s="184"/>
      <c r="L9" s="184"/>
      <c r="M9" s="349">
        <v>0</v>
      </c>
      <c r="N9" s="349">
        <v>0</v>
      </c>
    </row>
    <row r="10" spans="1:14" s="95" customFormat="1" ht="12.75" thickBot="1" x14ac:dyDescent="0.25">
      <c r="A10" s="245" t="s">
        <v>453</v>
      </c>
      <c r="B10" s="246" t="s">
        <v>473</v>
      </c>
      <c r="C10" s="247">
        <v>2</v>
      </c>
      <c r="D10" s="247"/>
      <c r="E10" s="248">
        <v>1</v>
      </c>
      <c r="F10" s="251">
        <f ca="1">SUMIF(MLS!$C$8:$M$376,BC_KQKD!C10,MLS!$N$8:$N$376)*E10</f>
        <v>0</v>
      </c>
      <c r="G10" s="251">
        <f ca="1">SUMIF(MLS!$C$8:$M$376,BC_KQKD!C10,MLS!$M$8:$M$376)*E10</f>
        <v>0</v>
      </c>
      <c r="H10" s="251">
        <f>SUMIFS(MLS!$I:$I,MLS!$C:$C,BC_KQKD!C10)*BC_KQKD!E10</f>
        <v>0</v>
      </c>
      <c r="I10" s="250"/>
      <c r="J10" s="183"/>
      <c r="K10" s="183"/>
      <c r="L10" s="183"/>
      <c r="M10" s="349">
        <v>0</v>
      </c>
      <c r="N10" s="349">
        <v>0</v>
      </c>
    </row>
    <row r="11" spans="1:14" s="95" customFormat="1" ht="12.75" thickBot="1" x14ac:dyDescent="0.25">
      <c r="A11" s="252"/>
      <c r="B11" s="253"/>
      <c r="C11" s="243"/>
      <c r="D11" s="243"/>
      <c r="E11" s="243"/>
      <c r="F11" s="251"/>
      <c r="G11" s="251"/>
      <c r="H11" s="251"/>
      <c r="I11" s="254"/>
      <c r="J11" s="184"/>
      <c r="K11" s="184"/>
      <c r="L11" s="184"/>
      <c r="M11" s="349">
        <v>0</v>
      </c>
      <c r="N11" s="349">
        <v>0</v>
      </c>
    </row>
    <row r="12" spans="1:14" s="95" customFormat="1" ht="24.75" customHeight="1" x14ac:dyDescent="0.2">
      <c r="A12" s="245" t="s">
        <v>454</v>
      </c>
      <c r="B12" s="246" t="s">
        <v>474</v>
      </c>
      <c r="C12" s="247">
        <v>10</v>
      </c>
      <c r="D12" s="247"/>
      <c r="E12" s="248">
        <v>-1</v>
      </c>
      <c r="F12" s="250">
        <f ca="1">SUMIF(MLS!$C$8:$M$376,BC_KQKD!C12,MLS!$N$8:$N$376)*E12</f>
        <v>259666666668</v>
      </c>
      <c r="G12" s="250">
        <f ca="1">SUMIF(MLS!$C$8:$M$376,BC_KQKD!C12,MLS!$M$8:$M$376)*E12</f>
        <v>259666666668</v>
      </c>
      <c r="H12" s="250">
        <f>SUMIFS(MLS!$I:$I,MLS!$C:$C,BC_KQKD!C12)*BC_KQKD!E12</f>
        <v>216666666668</v>
      </c>
      <c r="I12" s="255"/>
      <c r="J12" s="184">
        <f ca="1">SUM(F8:F10)-F12</f>
        <v>0</v>
      </c>
      <c r="K12" s="184">
        <f ca="1">SUM(G8:G10)-G12</f>
        <v>0</v>
      </c>
      <c r="L12" s="184">
        <f>SUM(H8:H10)-H12</f>
        <v>0</v>
      </c>
      <c r="M12" s="349">
        <v>259666666668</v>
      </c>
      <c r="N12" s="349">
        <v>216666666668</v>
      </c>
    </row>
    <row r="13" spans="1:14" s="95" customFormat="1" ht="24.75" customHeight="1" thickBot="1" x14ac:dyDescent="0.25">
      <c r="A13" s="245" t="s">
        <v>455</v>
      </c>
      <c r="B13" s="246" t="s">
        <v>475</v>
      </c>
      <c r="C13" s="247">
        <v>11</v>
      </c>
      <c r="D13" s="247"/>
      <c r="E13" s="248">
        <v>1</v>
      </c>
      <c r="F13" s="256">
        <f ca="1">SUMIF(MLS!$C$8:$M$376,BC_KQKD!C13,MLS!$N$8:$N$376)*E13</f>
        <v>174065761209</v>
      </c>
      <c r="G13" s="256">
        <f ca="1">SUMIF(MLS!$C$8:$M$376,BC_KQKD!C13,MLS!$M$8:$M$376)*E13</f>
        <v>173962271110</v>
      </c>
      <c r="H13" s="256">
        <f>SUMIFS(MLS!$I:$I,MLS!$C:$C,BC_KQKD!C13)*BC_KQKD!E13</f>
        <v>173391531094</v>
      </c>
      <c r="I13" s="250"/>
      <c r="J13" s="183"/>
      <c r="K13" s="183"/>
      <c r="L13" s="183"/>
      <c r="M13" s="349">
        <v>173962271110</v>
      </c>
      <c r="N13" s="349">
        <v>173391531094</v>
      </c>
    </row>
    <row r="14" spans="1:14" s="95" customFormat="1" ht="24.75" customHeight="1" x14ac:dyDescent="0.2">
      <c r="A14" s="245" t="s">
        <v>456</v>
      </c>
      <c r="B14" s="246" t="s">
        <v>476</v>
      </c>
      <c r="C14" s="247">
        <v>20</v>
      </c>
      <c r="D14" s="247"/>
      <c r="E14" s="248">
        <v>-1</v>
      </c>
      <c r="F14" s="250">
        <f ca="1">SUMIF(MLS!$C$8:$M$376,BC_KQKD!C14,MLS!$N$8:$N$376)*E14</f>
        <v>85600905459</v>
      </c>
      <c r="G14" s="250">
        <f ca="1">SUMIF(MLS!$C$8:$M$376,BC_KQKD!C14,MLS!$M$8:$M$376)*E14</f>
        <v>85704395558</v>
      </c>
      <c r="H14" s="250">
        <f>SUMIFS(MLS!$I:$I,MLS!$C:$C,BC_KQKD!C14)*BC_KQKD!E14</f>
        <v>43275135574</v>
      </c>
      <c r="I14" s="257"/>
      <c r="J14" s="184">
        <f ca="1">F12-F13-F14</f>
        <v>0</v>
      </c>
      <c r="K14" s="184">
        <f ca="1">G12-G13-G14</f>
        <v>0</v>
      </c>
      <c r="L14" s="184">
        <f>H12-H13-H14</f>
        <v>0</v>
      </c>
      <c r="M14" s="349">
        <v>85704395558</v>
      </c>
      <c r="N14" s="349">
        <v>43275135574</v>
      </c>
    </row>
    <row r="15" spans="1:14" s="95" customFormat="1" x14ac:dyDescent="0.2">
      <c r="A15" s="244" t="s">
        <v>457</v>
      </c>
      <c r="B15" s="258" t="s">
        <v>477</v>
      </c>
      <c r="C15" s="243">
        <v>21</v>
      </c>
      <c r="D15" s="243"/>
      <c r="E15" s="248">
        <v>-1</v>
      </c>
      <c r="F15" s="249">
        <f ca="1">SUMIF(MLS!$C$8:$M$376,BC_KQKD!C15,MLS!$N$8:$N$376)*E15</f>
        <v>131691</v>
      </c>
      <c r="G15" s="249">
        <f ca="1">SUMIF(MLS!$C$8:$M$376,BC_KQKD!C15,MLS!$M$8:$M$376)*E15</f>
        <v>246551</v>
      </c>
      <c r="H15" s="249">
        <f>SUMIFS(MLS!$I:$I,MLS!$C:$C,BC_KQKD!C15)*BC_KQKD!E15</f>
        <v>264925</v>
      </c>
      <c r="I15" s="249"/>
      <c r="J15" s="184"/>
      <c r="K15" s="184"/>
      <c r="L15" s="184"/>
      <c r="M15" s="349">
        <v>246551</v>
      </c>
      <c r="N15" s="349">
        <v>264925</v>
      </c>
    </row>
    <row r="16" spans="1:14" s="95" customFormat="1" x14ac:dyDescent="0.2">
      <c r="A16" s="244" t="s">
        <v>458</v>
      </c>
      <c r="B16" s="258" t="s">
        <v>478</v>
      </c>
      <c r="C16" s="243">
        <v>22</v>
      </c>
      <c r="D16" s="243"/>
      <c r="E16" s="248">
        <v>1</v>
      </c>
      <c r="F16" s="249">
        <f ca="1">SUMIF(MLS!$C$8:$M$376,BC_KQKD!C16,MLS!$N$8:$N$376)*E16</f>
        <v>1200000000</v>
      </c>
      <c r="G16" s="249">
        <f ca="1">SUMIF(MLS!$C$8:$M$376,BC_KQKD!C16,MLS!$M$8:$M$376)*E16</f>
        <v>0</v>
      </c>
      <c r="H16" s="249">
        <f>SUMIFS(MLS!$I:$I,MLS!$C:$C,BC_KQKD!C16)*BC_KQKD!E16</f>
        <v>0</v>
      </c>
      <c r="I16" s="249"/>
      <c r="J16" s="183"/>
      <c r="K16" s="183"/>
      <c r="L16" s="183"/>
      <c r="M16" s="349">
        <v>0</v>
      </c>
      <c r="N16" s="349">
        <v>0</v>
      </c>
    </row>
    <row r="17" spans="1:14" s="95" customFormat="1" x14ac:dyDescent="0.2">
      <c r="A17" s="259" t="s">
        <v>576</v>
      </c>
      <c r="B17" s="260" t="s">
        <v>577</v>
      </c>
      <c r="C17" s="261">
        <v>23</v>
      </c>
      <c r="D17" s="261"/>
      <c r="E17" s="262">
        <v>1</v>
      </c>
      <c r="F17" s="249">
        <f ca="1">SUMIF(MLS!$C$8:$M$376,BC_KQKD!C17,MLS!$N$8:$N$376)*E17</f>
        <v>1200000000</v>
      </c>
      <c r="G17" s="249">
        <f ca="1">SUMIF(MLS!$C$8:$M$376,BC_KQKD!C17,MLS!$M$8:$M$376)*E17</f>
        <v>0</v>
      </c>
      <c r="H17" s="249">
        <f>SUMIFS(MLS!$I:$I,MLS!$C:$C,BC_KQKD!C17)*BC_KQKD!E17</f>
        <v>0</v>
      </c>
      <c r="I17" s="263"/>
      <c r="J17" s="183"/>
      <c r="K17" s="183"/>
      <c r="L17" s="183"/>
      <c r="M17" s="349">
        <v>0</v>
      </c>
      <c r="N17" s="349">
        <v>0</v>
      </c>
    </row>
    <row r="18" spans="1:14" s="95" customFormat="1" ht="24" x14ac:dyDescent="0.2">
      <c r="A18" s="244" t="s">
        <v>459</v>
      </c>
      <c r="B18" s="258" t="s">
        <v>479</v>
      </c>
      <c r="C18" s="243">
        <v>24</v>
      </c>
      <c r="D18" s="243"/>
      <c r="E18" s="248">
        <v>1</v>
      </c>
      <c r="F18" s="249">
        <f ca="1">SUMIF(MLS!$C$8:$M$376,BC_KQKD!C18,MLS!$N$8:$N$376)*E18</f>
        <v>0</v>
      </c>
      <c r="G18" s="249">
        <f ca="1">SUMIF(MLS!$C$8:$M$376,BC_KQKD!C18,MLS!$M$8:$M$376)*E18</f>
        <v>0</v>
      </c>
      <c r="H18" s="249">
        <f>SUMIFS(MLS!$I:$I,MLS!$C:$C,BC_KQKD!C18)*BC_KQKD!E18</f>
        <v>0</v>
      </c>
      <c r="I18" s="249"/>
      <c r="J18" s="183"/>
      <c r="K18" s="183"/>
      <c r="L18" s="183"/>
      <c r="M18" s="349">
        <v>0</v>
      </c>
      <c r="N18" s="349">
        <v>0</v>
      </c>
    </row>
    <row r="19" spans="1:14" s="95" customFormat="1" x14ac:dyDescent="0.2">
      <c r="A19" s="244" t="s">
        <v>460</v>
      </c>
      <c r="B19" s="258" t="s">
        <v>480</v>
      </c>
      <c r="C19" s="243">
        <v>25</v>
      </c>
      <c r="D19" s="243"/>
      <c r="E19" s="248">
        <v>1</v>
      </c>
      <c r="F19" s="249">
        <f ca="1">SUMIF(MLS!$C$8:$M$376,BC_KQKD!C19,MLS!$N$8:$N$376)*E19</f>
        <v>0</v>
      </c>
      <c r="G19" s="249">
        <f ca="1">SUMIF(MLS!$C$8:$M$376,BC_KQKD!C19,MLS!$M$8:$M$376)*E19</f>
        <v>0</v>
      </c>
      <c r="H19" s="249">
        <f>SUMIFS(MLS!$I:$I,MLS!$C:$C,BC_KQKD!C19)*BC_KQKD!E19</f>
        <v>0</v>
      </c>
      <c r="I19" s="249"/>
      <c r="J19" s="183"/>
      <c r="K19" s="183"/>
      <c r="L19" s="183"/>
      <c r="M19" s="349">
        <v>0</v>
      </c>
      <c r="N19" s="349">
        <v>0</v>
      </c>
    </row>
    <row r="20" spans="1:14" s="95" customFormat="1" ht="12.75" thickBot="1" x14ac:dyDescent="0.25">
      <c r="A20" s="244" t="s">
        <v>461</v>
      </c>
      <c r="B20" s="258" t="s">
        <v>481</v>
      </c>
      <c r="C20" s="243">
        <v>26</v>
      </c>
      <c r="D20" s="243"/>
      <c r="E20" s="248">
        <v>1</v>
      </c>
      <c r="F20" s="251">
        <f ca="1">SUMIF(MLS!$C$8:$M$376,BC_KQKD!C20,MLS!$N$8:$N$376)*E20</f>
        <v>5110399502</v>
      </c>
      <c r="G20" s="251">
        <f ca="1">SUMIF(MLS!$C$8:$M$376,BC_KQKD!C20,MLS!$M$8:$M$376)*E20</f>
        <v>459825325</v>
      </c>
      <c r="H20" s="251">
        <f>SUMIFS(MLS!$I:$I,MLS!$C:$C,BC_KQKD!C20)*BC_KQKD!E20</f>
        <v>206180940</v>
      </c>
      <c r="I20" s="249"/>
      <c r="J20" s="184"/>
      <c r="K20" s="184"/>
      <c r="L20" s="184"/>
      <c r="M20" s="349">
        <v>459825325</v>
      </c>
      <c r="N20" s="349">
        <v>206180940</v>
      </c>
    </row>
    <row r="21" spans="1:14" s="95" customFormat="1" ht="12.75" thickBot="1" x14ac:dyDescent="0.25">
      <c r="A21" s="252"/>
      <c r="B21" s="253"/>
      <c r="C21" s="243"/>
      <c r="D21" s="243"/>
      <c r="E21" s="243"/>
      <c r="F21" s="251">
        <f ca="1">SUMIF(MLS!$C$8:$M$376,BC_KQKD!C21,MLS!$N$8:$N$376)*E21</f>
        <v>0</v>
      </c>
      <c r="G21" s="251">
        <f ca="1">SUMIF(MLS!$C$8:$M$376,BC_KQKD!C21,MLS!$M$8:$M$376)*E21</f>
        <v>0</v>
      </c>
      <c r="H21" s="251"/>
      <c r="I21" s="254"/>
      <c r="J21" s="183"/>
      <c r="K21" s="183"/>
      <c r="L21" s="183"/>
      <c r="M21" s="349">
        <v>0</v>
      </c>
      <c r="N21" s="349">
        <v>0</v>
      </c>
    </row>
    <row r="22" spans="1:14" s="95" customFormat="1" ht="36" x14ac:dyDescent="0.2">
      <c r="A22" s="246" t="s">
        <v>579</v>
      </c>
      <c r="B22" s="246" t="s">
        <v>580</v>
      </c>
      <c r="C22" s="247">
        <v>30</v>
      </c>
      <c r="D22" s="247"/>
      <c r="E22" s="248">
        <v>-1</v>
      </c>
      <c r="F22" s="250">
        <f ca="1">SUMIF(MLS!$C$8:$M$376,BC_KQKD!C22,MLS!$N$8:$N$376)*E22</f>
        <v>79290637648</v>
      </c>
      <c r="G22" s="250">
        <f ca="1">SUMIF(MLS!$C$8:$M$376,BC_KQKD!C22,MLS!$M$8:$M$376)*E22</f>
        <v>85244816784</v>
      </c>
      <c r="H22" s="250">
        <f>SUMIFS(MLS!$I:$I,MLS!$C:$C,BC_KQKD!C22)*BC_KQKD!E22</f>
        <v>43069219559</v>
      </c>
      <c r="I22" s="264"/>
      <c r="J22" s="184">
        <f ca="1">F14+F15-F16-F18-F19-F20-F22</f>
        <v>0</v>
      </c>
      <c r="K22" s="184">
        <f ca="1">G14+G15-G16-G18-G19-G20-G22</f>
        <v>0</v>
      </c>
      <c r="L22" s="184">
        <f>H14+H15-H16-H18-H19-H20-H22</f>
        <v>0</v>
      </c>
      <c r="M22" s="349">
        <v>85244816784</v>
      </c>
      <c r="N22" s="349">
        <v>43069219559</v>
      </c>
    </row>
    <row r="23" spans="1:14" s="95" customFormat="1" ht="12.75" thickBot="1" x14ac:dyDescent="0.25">
      <c r="A23" s="245"/>
      <c r="C23" s="247"/>
      <c r="D23" s="247"/>
      <c r="E23" s="245"/>
      <c r="F23" s="265"/>
      <c r="G23" s="265"/>
      <c r="H23" s="265"/>
      <c r="I23" s="264"/>
      <c r="J23" s="183"/>
      <c r="K23" s="183"/>
      <c r="L23" s="183"/>
      <c r="M23" s="349">
        <v>0</v>
      </c>
      <c r="N23" s="349">
        <v>0</v>
      </c>
    </row>
    <row r="24" spans="1:14" s="95" customFormat="1" x14ac:dyDescent="0.2">
      <c r="A24" s="245"/>
      <c r="C24" s="247"/>
      <c r="D24" s="247"/>
      <c r="E24" s="247"/>
      <c r="F24" s="266"/>
      <c r="G24" s="266"/>
      <c r="H24" s="266"/>
      <c r="I24" s="257"/>
      <c r="J24" s="183"/>
      <c r="K24" s="183"/>
      <c r="L24" s="183"/>
      <c r="M24" s="349">
        <v>0</v>
      </c>
      <c r="N24" s="349">
        <v>0</v>
      </c>
    </row>
    <row r="25" spans="1:14" s="95" customFormat="1" x14ac:dyDescent="0.2">
      <c r="A25" s="244" t="s">
        <v>462</v>
      </c>
      <c r="B25" s="258" t="s">
        <v>482</v>
      </c>
      <c r="C25" s="243">
        <v>31</v>
      </c>
      <c r="D25" s="243"/>
      <c r="E25" s="248">
        <v>-1</v>
      </c>
      <c r="F25" s="249">
        <f ca="1">SUMIF(MLS!$C$8:$M$376,BC_KQKD!C25,MLS!$N$8:$N$376)*E25</f>
        <v>0</v>
      </c>
      <c r="G25" s="249">
        <f ca="1">SUMIF(MLS!$C$8:$M$376,BC_KQKD!C25,MLS!$M$8:$M$376)*E25</f>
        <v>0</v>
      </c>
      <c r="H25" s="249">
        <f>SUMIFS(MLS!$I:$I,MLS!$C:$C,BC_KQKD!C25)*BC_KQKD!E25</f>
        <v>10165166</v>
      </c>
      <c r="I25" s="249"/>
      <c r="J25" s="183"/>
      <c r="K25" s="183"/>
      <c r="L25" s="183"/>
      <c r="M25" s="349">
        <v>0</v>
      </c>
      <c r="N25" s="349">
        <v>10165166</v>
      </c>
    </row>
    <row r="26" spans="1:14" s="95" customFormat="1" ht="12.75" thickBot="1" x14ac:dyDescent="0.25">
      <c r="A26" s="244" t="s">
        <v>463</v>
      </c>
      <c r="B26" s="258" t="s">
        <v>483</v>
      </c>
      <c r="C26" s="243">
        <v>32</v>
      </c>
      <c r="D26" s="243"/>
      <c r="E26" s="248">
        <v>1</v>
      </c>
      <c r="F26" s="251">
        <f ca="1">SUMIF(MLS!$C$8:$M$376,BC_KQKD!C26,MLS!$N$8:$N$376)*E26</f>
        <v>0</v>
      </c>
      <c r="G26" s="251">
        <f ca="1">SUMIF(MLS!$C$8:$M$376,BC_KQKD!C26,MLS!$M$8:$M$376)*E26</f>
        <v>0</v>
      </c>
      <c r="H26" s="251">
        <f>SUMIFS(MLS!$I:$I,MLS!$C:$C,BC_KQKD!C26)*BC_KQKD!E26</f>
        <v>0</v>
      </c>
      <c r="I26" s="249"/>
      <c r="J26" s="183"/>
      <c r="K26" s="183"/>
      <c r="L26" s="183"/>
      <c r="M26" s="349">
        <v>0</v>
      </c>
      <c r="N26" s="349">
        <v>0</v>
      </c>
    </row>
    <row r="27" spans="1:14" s="95" customFormat="1" ht="12.75" thickBot="1" x14ac:dyDescent="0.25">
      <c r="A27" s="245"/>
      <c r="B27" s="246"/>
      <c r="C27" s="247"/>
      <c r="D27" s="247"/>
      <c r="E27" s="247"/>
      <c r="F27" s="256"/>
      <c r="G27" s="256"/>
      <c r="H27" s="256"/>
      <c r="I27" s="257"/>
      <c r="J27" s="183"/>
      <c r="K27" s="183"/>
      <c r="L27" s="183"/>
      <c r="M27" s="349">
        <v>0</v>
      </c>
      <c r="N27" s="349">
        <v>0</v>
      </c>
    </row>
    <row r="28" spans="1:14" s="95" customFormat="1" ht="18" customHeight="1" x14ac:dyDescent="0.2">
      <c r="A28" s="245" t="s">
        <v>464</v>
      </c>
      <c r="B28" s="246" t="s">
        <v>484</v>
      </c>
      <c r="C28" s="247">
        <v>40</v>
      </c>
      <c r="D28" s="247"/>
      <c r="E28" s="248">
        <v>-1</v>
      </c>
      <c r="F28" s="250">
        <f ca="1">SUMIF(MLS!$C$8:$M$376,BC_KQKD!C28,MLS!$N$8:$N$376)*E28</f>
        <v>0</v>
      </c>
      <c r="G28" s="250">
        <f ca="1">SUMIF(MLS!$C$8:$M$376,BC_KQKD!C28,MLS!$M$8:$M$376)*E28</f>
        <v>0</v>
      </c>
      <c r="H28" s="250">
        <f>SUMIFS(MLS!$I:$I,MLS!$C:$C,BC_KQKD!C28)*BC_KQKD!E28</f>
        <v>10165166</v>
      </c>
      <c r="I28" s="250"/>
      <c r="J28" s="184">
        <f ca="1">F25-F26-F28</f>
        <v>0</v>
      </c>
      <c r="K28" s="184">
        <f ca="1">G25-G26-G28</f>
        <v>0</v>
      </c>
      <c r="L28" s="184">
        <f>H25-H26-H28</f>
        <v>0</v>
      </c>
      <c r="M28" s="349">
        <v>0</v>
      </c>
      <c r="N28" s="349">
        <v>10165166</v>
      </c>
    </row>
    <row r="29" spans="1:14" s="268" customFormat="1" ht="18" customHeight="1" thickBot="1" x14ac:dyDescent="0.25">
      <c r="A29" s="252"/>
      <c r="B29" s="252"/>
      <c r="C29" s="243"/>
      <c r="D29" s="243"/>
      <c r="E29" s="243"/>
      <c r="F29" s="251"/>
      <c r="G29" s="251"/>
      <c r="H29" s="251"/>
      <c r="I29" s="254"/>
      <c r="J29" s="267"/>
      <c r="K29" s="267"/>
      <c r="L29" s="267"/>
      <c r="M29" s="349">
        <v>0</v>
      </c>
      <c r="N29" s="349">
        <v>0</v>
      </c>
    </row>
    <row r="30" spans="1:14" s="268" customFormat="1" ht="18" customHeight="1" x14ac:dyDescent="0.2">
      <c r="A30" s="269" t="s">
        <v>581</v>
      </c>
      <c r="B30" s="245" t="s">
        <v>582</v>
      </c>
      <c r="C30" s="247">
        <v>50</v>
      </c>
      <c r="D30" s="247"/>
      <c r="E30" s="248">
        <v>-1</v>
      </c>
      <c r="F30" s="250">
        <f ca="1">SUMIF(MLS!$C$8:$M$376,BC_KQKD!C30,MLS!$N$8:$N$376)*E30</f>
        <v>79290637648</v>
      </c>
      <c r="G30" s="250">
        <f ca="1">SUMIF(MLS!$C$8:$M$376,BC_KQKD!C30,MLS!$M$8:$M$376)*E30</f>
        <v>85244816784</v>
      </c>
      <c r="H30" s="250">
        <f>SUMIFS(MLS!$I:$I,MLS!$C:$C,BC_KQKD!C30)*BC_KQKD!E30</f>
        <v>43079384725</v>
      </c>
      <c r="I30" s="250"/>
      <c r="J30" s="270">
        <f ca="1">F22+F28-F30</f>
        <v>0</v>
      </c>
      <c r="K30" s="270">
        <f ca="1">G22+G28-G30</f>
        <v>0</v>
      </c>
      <c r="L30" s="270">
        <f>H22+H28-H30</f>
        <v>0</v>
      </c>
      <c r="M30" s="349">
        <v>85244816784</v>
      </c>
      <c r="N30" s="349">
        <v>43079384725</v>
      </c>
    </row>
    <row r="31" spans="1:14" s="268" customFormat="1" ht="18" customHeight="1" x14ac:dyDescent="0.2">
      <c r="A31" s="245" t="s">
        <v>465</v>
      </c>
      <c r="B31" s="245" t="s">
        <v>485</v>
      </c>
      <c r="C31" s="247">
        <v>51</v>
      </c>
      <c r="D31" s="247"/>
      <c r="E31" s="248">
        <v>1</v>
      </c>
      <c r="F31" s="250">
        <f ca="1">SUMIF(MLS!$C$8:$M$376,BC_KQKD!C31,MLS!$N$8:$N$376)*E31</f>
        <v>6058127530</v>
      </c>
      <c r="G31" s="250">
        <f ca="1">SUMIF(MLS!$C$8:$M$376,BC_KQKD!C31,MLS!$M$8:$M$376)*E31</f>
        <v>0</v>
      </c>
      <c r="H31" s="250">
        <f>SUMIFS(MLS!$I:$I,MLS!$C:$C,BC_KQKD!C31)*BC_KQKD!E31</f>
        <v>0</v>
      </c>
      <c r="I31" s="250"/>
      <c r="J31" s="267"/>
      <c r="K31" s="267"/>
      <c r="L31" s="267"/>
      <c r="M31" s="349">
        <v>0</v>
      </c>
      <c r="N31" s="349">
        <v>0</v>
      </c>
    </row>
    <row r="32" spans="1:14" s="268" customFormat="1" ht="18" customHeight="1" thickBot="1" x14ac:dyDescent="0.25">
      <c r="A32" s="245" t="s">
        <v>466</v>
      </c>
      <c r="B32" s="245" t="s">
        <v>486</v>
      </c>
      <c r="C32" s="247">
        <v>52</v>
      </c>
      <c r="D32" s="247"/>
      <c r="E32" s="248">
        <v>1</v>
      </c>
      <c r="F32" s="256">
        <f ca="1">SUMIF(MLS!$C$8:$M$376,BC_KQKD!C32,MLS!$N$8:$N$376)*E32</f>
        <v>0</v>
      </c>
      <c r="G32" s="256">
        <f ca="1">SUMIF(MLS!$C$8:$M$376,BC_KQKD!C32,MLS!$M$8:$M$376)*E32</f>
        <v>0</v>
      </c>
      <c r="H32" s="256">
        <f>SUMIFS(MLS!$I:$I,MLS!$C:$C,BC_KQKD!C32)*BC_KQKD!E32</f>
        <v>0</v>
      </c>
      <c r="I32" s="257"/>
      <c r="J32" s="267"/>
      <c r="K32" s="267"/>
      <c r="L32" s="267"/>
      <c r="M32" s="349">
        <v>0</v>
      </c>
      <c r="N32" s="349">
        <v>0</v>
      </c>
    </row>
    <row r="33" spans="1:14" s="268" customFormat="1" ht="18" customHeight="1" x14ac:dyDescent="0.2">
      <c r="A33" s="245" t="s">
        <v>578</v>
      </c>
      <c r="B33" s="245" t="s">
        <v>583</v>
      </c>
      <c r="C33" s="247">
        <v>60</v>
      </c>
      <c r="D33" s="247"/>
      <c r="E33" s="248">
        <v>-1</v>
      </c>
      <c r="F33" s="250">
        <f ca="1">SUMIF(MLS!$C$8:$M$376,BC_KQKD!C33,MLS!$N$8:$N$376)*E33</f>
        <v>73232510118</v>
      </c>
      <c r="G33" s="250">
        <f ca="1">SUMIF(MLS!$C$8:$M$376,BC_KQKD!C33,MLS!$M$8:$M$376)*E33</f>
        <v>85244816784</v>
      </c>
      <c r="H33" s="250">
        <f>SUMIFS(MLS!$I:$I,MLS!$C:$C,BC_KQKD!C33)*BC_KQKD!E33</f>
        <v>43079384725</v>
      </c>
      <c r="I33" s="264"/>
      <c r="J33" s="270">
        <f ca="1">F30-F31-F32-F33</f>
        <v>0</v>
      </c>
      <c r="K33" s="270">
        <f ca="1">G30-G31-G32-G33</f>
        <v>0</v>
      </c>
      <c r="L33" s="270">
        <f>H30-H31-H32-H33</f>
        <v>0</v>
      </c>
      <c r="M33" s="349">
        <v>85244816784</v>
      </c>
      <c r="N33" s="349">
        <v>43079384725</v>
      </c>
    </row>
    <row r="34" spans="1:14" s="268" customFormat="1" ht="12.75" thickBot="1" x14ac:dyDescent="0.25">
      <c r="A34" s="245"/>
      <c r="C34" s="247"/>
      <c r="D34" s="247"/>
      <c r="E34" s="245"/>
      <c r="F34" s="271"/>
      <c r="G34" s="271"/>
      <c r="H34" s="271"/>
      <c r="I34" s="264"/>
      <c r="J34" s="270"/>
      <c r="K34" s="270"/>
      <c r="L34" s="270"/>
      <c r="M34" s="349">
        <v>0</v>
      </c>
      <c r="N34" s="349">
        <v>0</v>
      </c>
    </row>
    <row r="35" spans="1:14" s="95" customFormat="1" ht="12.75" thickTop="1" x14ac:dyDescent="0.2">
      <c r="A35" s="245" t="s">
        <v>467</v>
      </c>
      <c r="B35" s="246" t="s">
        <v>487</v>
      </c>
      <c r="C35" s="247"/>
      <c r="D35" s="247"/>
      <c r="E35" s="247"/>
      <c r="F35" s="250"/>
      <c r="G35" s="250"/>
      <c r="H35" s="250"/>
      <c r="I35" s="250"/>
      <c r="J35" s="183"/>
      <c r="K35" s="183"/>
      <c r="L35" s="183"/>
      <c r="M35" s="349">
        <v>0</v>
      </c>
      <c r="N35" s="349">
        <v>0</v>
      </c>
    </row>
    <row r="36" spans="1:14" s="95" customFormat="1" x14ac:dyDescent="0.2">
      <c r="A36" s="272" t="s">
        <v>468</v>
      </c>
      <c r="B36" s="273" t="s">
        <v>488</v>
      </c>
      <c r="C36" s="243">
        <v>61</v>
      </c>
      <c r="D36" s="243"/>
      <c r="E36" s="248"/>
      <c r="F36" s="250">
        <f ca="1">SUMIF(MLS!$C$8:$M$376,BC_KQKD!B36,MLS!$M$8:$M$376)*D36</f>
        <v>0</v>
      </c>
      <c r="G36" s="250">
        <f ca="1">SUMIF(MLS!$C$8:$M$376,BC_KQKD!C36,MLS!$M$8:$M$376)*E36</f>
        <v>0</v>
      </c>
      <c r="H36" s="250">
        <f>SUMIFS(MLS!$I:$I,MLS!$C:$C,BC_KQKD!C36)*BC_KQKD!E36</f>
        <v>0</v>
      </c>
      <c r="I36" s="249"/>
      <c r="J36" s="183"/>
      <c r="K36" s="183"/>
      <c r="L36" s="183"/>
      <c r="M36" s="349">
        <v>0</v>
      </c>
      <c r="N36" s="349">
        <v>0</v>
      </c>
    </row>
    <row r="37" spans="1:14" s="95" customFormat="1" ht="24" x14ac:dyDescent="0.2">
      <c r="A37" s="272" t="s">
        <v>108</v>
      </c>
      <c r="B37" s="273" t="s">
        <v>489</v>
      </c>
      <c r="C37" s="243">
        <v>62</v>
      </c>
      <c r="D37" s="243"/>
      <c r="E37" s="248"/>
      <c r="F37" s="250">
        <f ca="1">SUMIF(MLS!$C$8:$M$376,BC_KQKD!B37,MLS!$M$8:$M$376)*D37</f>
        <v>0</v>
      </c>
      <c r="G37" s="250">
        <f ca="1">SUMIF(MLS!$C$8:$M$376,BC_KQKD!C37,MLS!$M$8:$M$376)*E37</f>
        <v>0</v>
      </c>
      <c r="H37" s="250">
        <f>SUMIFS(MLS!$I:$I,MLS!$C:$C,BC_KQKD!C37)*BC_KQKD!E37</f>
        <v>0</v>
      </c>
      <c r="I37" s="254"/>
      <c r="J37" s="183"/>
      <c r="K37" s="183"/>
      <c r="L37" s="183"/>
      <c r="M37" s="349">
        <v>0</v>
      </c>
      <c r="N37" s="349">
        <v>0</v>
      </c>
    </row>
    <row r="38" spans="1:14" s="95" customFormat="1" x14ac:dyDescent="0.2">
      <c r="A38" s="245" t="s">
        <v>469</v>
      </c>
      <c r="B38" s="246" t="s">
        <v>490</v>
      </c>
      <c r="C38" s="247"/>
      <c r="D38" s="247"/>
      <c r="E38" s="247"/>
      <c r="F38" s="250"/>
      <c r="G38" s="250"/>
      <c r="H38" s="250"/>
      <c r="I38" s="250"/>
      <c r="J38" s="183"/>
      <c r="K38" s="183"/>
      <c r="L38" s="183"/>
      <c r="M38" s="349">
        <v>0</v>
      </c>
      <c r="N38" s="349">
        <v>0</v>
      </c>
    </row>
    <row r="39" spans="1:14" s="95" customFormat="1" x14ac:dyDescent="0.2">
      <c r="A39" s="272" t="s">
        <v>470</v>
      </c>
      <c r="B39" s="273" t="s">
        <v>491</v>
      </c>
      <c r="C39" s="243">
        <v>70</v>
      </c>
      <c r="D39" s="243"/>
      <c r="E39" s="248"/>
      <c r="F39" s="250">
        <f ca="1">SUMIF(MLS!$C$8:$M$376,BC_KQKD!B39,MLS!$M$8:$M$376)*D39</f>
        <v>0</v>
      </c>
      <c r="G39" s="250">
        <f ca="1">SUMIF(MLS!$C$8:$M$376,BC_KQKD!C39,MLS!$M$8:$M$376)*E39</f>
        <v>0</v>
      </c>
      <c r="H39" s="250">
        <f>SUMIFS(MLS!$I:$I,MLS!$C:$C,BC_KQKD!C39)*BC_KQKD!E39</f>
        <v>0</v>
      </c>
      <c r="I39" s="249"/>
      <c r="J39" s="183"/>
      <c r="K39" s="183"/>
      <c r="L39" s="183"/>
      <c r="M39" s="349">
        <v>0</v>
      </c>
      <c r="N39" s="349">
        <v>0</v>
      </c>
    </row>
    <row r="40" spans="1:14" s="95" customFormat="1" x14ac:dyDescent="0.2">
      <c r="A40" s="272" t="s">
        <v>471</v>
      </c>
      <c r="B40" s="273" t="s">
        <v>492</v>
      </c>
      <c r="C40" s="243">
        <v>71</v>
      </c>
      <c r="D40" s="243"/>
      <c r="E40" s="248"/>
      <c r="F40" s="250">
        <f ca="1">SUMIF(MLS!$C$8:$M$376,BC_KQKD!B40,MLS!$M$8:$M$376)*D40</f>
        <v>0</v>
      </c>
      <c r="G40" s="250">
        <f ca="1">SUMIF(MLS!$C$8:$M$376,BC_KQKD!C40,MLS!$M$8:$M$376)*E40</f>
        <v>0</v>
      </c>
      <c r="H40" s="250"/>
      <c r="I40" s="254"/>
      <c r="J40" s="183"/>
      <c r="K40" s="183"/>
      <c r="L40" s="183"/>
      <c r="M40" s="349">
        <v>0</v>
      </c>
      <c r="N40" s="349">
        <v>0</v>
      </c>
    </row>
    <row r="41" spans="1:14" s="95" customFormat="1" x14ac:dyDescent="0.2">
      <c r="A41" s="242"/>
      <c r="B41" s="242"/>
      <c r="C41" s="274"/>
      <c r="D41" s="274"/>
      <c r="E41" s="268"/>
      <c r="F41" s="268"/>
      <c r="G41" s="268"/>
      <c r="H41" s="268"/>
      <c r="I41" s="268"/>
      <c r="J41" s="185"/>
      <c r="K41" s="185"/>
      <c r="L41" s="185"/>
      <c r="M41" s="349">
        <v>0</v>
      </c>
      <c r="N41" s="349">
        <v>0</v>
      </c>
    </row>
  </sheetData>
  <autoFilter ref="A6:H40"/>
  <customSheetViews>
    <customSheetView guid="{7D77170C-09CD-4EEC-BB83-B3AA6C853D06}" showPageBreaks="1" fitToPage="1" printArea="1" filter="1" showAutoFilter="1" hiddenColumns="1" topLeftCell="A3">
      <selection activeCell="E8" sqref="E8"/>
      <pageMargins left="0.7" right="0.15" top="0.75" bottom="0.75" header="0.3" footer="0.3"/>
      <pageSetup paperSize="9" orientation="landscape" r:id="rId1"/>
      <autoFilter ref="A6:J40">
        <filterColumn colId="2">
          <customFilters>
            <customFilter operator="notEqual" val=" "/>
          </customFilters>
        </filterColumn>
      </autoFilter>
    </customSheetView>
    <customSheetView guid="{A802F8BE-E184-4275-8F47-F417811C9A4E}" showPageBreaks="1" fitToPage="1" printArea="1" showAutoFilter="1" hiddenColumns="1" view="pageBreakPreview">
      <pane xSplit="1" ySplit="5" topLeftCell="C30" activePane="bottomRight" state="frozen"/>
      <selection pane="bottomRight" activeCell="E4" sqref="E4:E33"/>
      <pageMargins left="0.7" right="0.15" top="0.75" bottom="0.75" header="0.3" footer="0.3"/>
      <pageSetup paperSize="9" scale="80" orientation="landscape" r:id="rId2"/>
      <autoFilter ref="A6:G40"/>
    </customSheetView>
    <customSheetView guid="{0796A30C-2FFF-4A21-B2AE-A5991690F213}" showPageBreaks="1" fitToPage="1" printArea="1" showAutoFilter="1" hiddenColumns="1" view="pageBreakPreview">
      <pane xSplit="1" ySplit="5" topLeftCell="C30" activePane="bottomRight" state="frozen"/>
      <selection pane="bottomRight" activeCell="E4" sqref="E4:E33"/>
      <pageMargins left="0.7" right="0.15" top="0.75" bottom="0.75" header="0.3" footer="0.3"/>
      <pageSetup paperSize="9" scale="80" orientation="landscape" r:id="rId3"/>
      <autoFilter ref="A6:G40"/>
    </customSheetView>
    <customSheetView guid="{4E825B2D-08AF-434A-8916-FE9D1F47F8D7}" fitToPage="1" filter="1" showAutoFilter="1" hiddenColumns="1">
      <selection activeCell="F14" sqref="F14"/>
      <pageMargins left="0.7" right="0.15" top="0.75" bottom="0.75" header="0.3" footer="0.3"/>
      <pageSetup paperSize="9" orientation="landscape" r:id="rId4"/>
      <autoFilter ref="A6:J40">
        <filterColumn colId="2">
          <customFilters>
            <customFilter operator="notEqual" val=" "/>
          </customFilters>
        </filterColumn>
      </autoFilter>
    </customSheetView>
    <customSheetView guid="{A3D7BE5A-A938-4021-A801-1DAF67AB037C}" fitToPage="1" filter="1" showAutoFilter="1" hiddenColumns="1">
      <selection activeCell="F14" sqref="F14"/>
      <pageMargins left="0.7" right="0.15" top="0.75" bottom="0.75" header="0.3" footer="0.3"/>
      <pageSetup paperSize="9" orientation="landscape" r:id="rId5"/>
      <autoFilter ref="A6:J40">
        <filterColumn colId="2">
          <customFilters>
            <customFilter operator="notEqual" val=" "/>
          </customFilters>
        </filterColumn>
      </autoFilter>
    </customSheetView>
    <customSheetView guid="{431ED707-2363-4119-8E0B-F4208B03A2D2}" showPageBreaks="1" fitToPage="1" printArea="1" filter="1" showAutoFilter="1" hiddenColumns="1">
      <selection activeCell="E19" sqref="E19"/>
      <pageMargins left="0.7" right="0.15" top="0.75" bottom="0.75" header="0.3" footer="0.3"/>
      <pageSetup paperSize="9" orientation="landscape" r:id="rId6"/>
      <autoFilter ref="A6:J40">
        <filterColumn colId="2">
          <customFilters>
            <customFilter operator="notEqual" val=" "/>
          </customFilters>
        </filterColumn>
      </autoFilter>
    </customSheetView>
  </customSheetViews>
  <conditionalFormatting sqref="L7:L41">
    <cfRule type="cellIs" dxfId="354" priority="12" operator="notEqual">
      <formula>0</formula>
    </cfRule>
  </conditionalFormatting>
  <conditionalFormatting sqref="L9:L41">
    <cfRule type="cellIs" dxfId="353" priority="11" operator="notEqual">
      <formula>0</formula>
    </cfRule>
  </conditionalFormatting>
  <conditionalFormatting sqref="K7:K41">
    <cfRule type="cellIs" dxfId="352" priority="4" operator="notEqual">
      <formula>0</formula>
    </cfRule>
  </conditionalFormatting>
  <conditionalFormatting sqref="K9:K41">
    <cfRule type="cellIs" dxfId="351" priority="3" operator="notEqual">
      <formula>0</formula>
    </cfRule>
  </conditionalFormatting>
  <conditionalFormatting sqref="J7:J41">
    <cfRule type="cellIs" dxfId="350" priority="2" operator="notEqual">
      <formula>0</formula>
    </cfRule>
  </conditionalFormatting>
  <conditionalFormatting sqref="J9:J41">
    <cfRule type="cellIs" dxfId="349" priority="1" operator="notEqual">
      <formula>0</formula>
    </cfRule>
  </conditionalFormatting>
  <pageMargins left="0.7" right="0.15" top="0.75" bottom="0.75" header="0.3" footer="0.3"/>
  <pageSetup paperSize="9" scale="75"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154"/>
  <sheetViews>
    <sheetView showGridLines="0" view="pageBreakPreview" zoomScaleNormal="100" zoomScaleSheetLayoutView="100" workbookViewId="0">
      <pane ySplit="5" topLeftCell="A6" activePane="bottomLeft" state="frozen"/>
      <selection activeCell="I63" sqref="I63"/>
      <selection pane="bottomLeft" activeCell="F16" sqref="F16"/>
    </sheetView>
  </sheetViews>
  <sheetFormatPr defaultColWidth="9.140625" defaultRowHeight="16.5" x14ac:dyDescent="0.3"/>
  <cols>
    <col min="1" max="1" width="3.85546875" style="186" customWidth="1"/>
    <col min="2" max="2" width="32.85546875" style="186" customWidth="1"/>
    <col min="3" max="3" width="45" style="186" customWidth="1"/>
    <col min="4" max="4" width="14.42578125" style="188" customWidth="1"/>
    <col min="5" max="5" width="5.28515625" style="188" hidden="1" customWidth="1"/>
    <col min="6" max="7" width="25.5703125" style="205" customWidth="1"/>
    <col min="8" max="8" width="24.42578125" style="205" hidden="1" customWidth="1"/>
    <col min="9" max="9" width="19.85546875" style="206" customWidth="1"/>
    <col min="10" max="10" width="28.7109375" style="193" customWidth="1"/>
    <col min="11" max="11" width="16.42578125" style="193" customWidth="1"/>
    <col min="12" max="12" width="21.85546875" style="193" bestFit="1" customWidth="1"/>
    <col min="13" max="13" width="9.140625" style="193"/>
    <col min="14" max="15" width="18.85546875" style="193" bestFit="1" customWidth="1"/>
    <col min="16" max="16384" width="9.140625" style="193"/>
  </cols>
  <sheetData>
    <row r="1" spans="1:15" ht="30" thickBot="1" x14ac:dyDescent="0.35">
      <c r="B1" s="187" t="s">
        <v>1100</v>
      </c>
      <c r="E1" s="189" t="s">
        <v>574</v>
      </c>
      <c r="F1" s="190" t="s">
        <v>584</v>
      </c>
      <c r="G1" s="190" t="s">
        <v>584</v>
      </c>
      <c r="H1" s="190" t="s">
        <v>584</v>
      </c>
      <c r="I1" s="191"/>
      <c r="J1" s="192"/>
      <c r="K1" s="192"/>
      <c r="L1" s="192"/>
    </row>
    <row r="2" spans="1:15" ht="17.25" customHeight="1" thickBot="1" x14ac:dyDescent="0.35">
      <c r="B2" s="194" t="s">
        <v>573</v>
      </c>
      <c r="E2" s="195"/>
      <c r="F2" s="196" t="s">
        <v>801</v>
      </c>
      <c r="G2" s="196" t="s">
        <v>801</v>
      </c>
      <c r="H2" s="196" t="s">
        <v>801</v>
      </c>
      <c r="I2" s="197"/>
      <c r="J2" s="192"/>
      <c r="K2" s="192"/>
      <c r="L2" s="192"/>
    </row>
    <row r="3" spans="1:15" ht="17.25" thickBot="1" x14ac:dyDescent="0.35">
      <c r="E3" s="198"/>
      <c r="F3" s="408" t="s">
        <v>986</v>
      </c>
      <c r="G3" s="408" t="s">
        <v>987</v>
      </c>
      <c r="H3" s="340">
        <v>43465</v>
      </c>
      <c r="I3" s="197"/>
      <c r="J3" s="192"/>
      <c r="K3" s="192"/>
      <c r="L3" s="192"/>
    </row>
    <row r="4" spans="1:15" ht="38.25" customHeight="1" thickBot="1" x14ac:dyDescent="0.35">
      <c r="B4" s="199" t="s">
        <v>313</v>
      </c>
      <c r="C4" s="199" t="s">
        <v>314</v>
      </c>
      <c r="D4" s="200" t="s">
        <v>571</v>
      </c>
      <c r="E4" s="201" t="s">
        <v>572</v>
      </c>
      <c r="F4" s="202" t="s">
        <v>1098</v>
      </c>
      <c r="G4" s="202" t="s">
        <v>1097</v>
      </c>
      <c r="H4" s="202" t="s">
        <v>119</v>
      </c>
      <c r="I4" s="203"/>
      <c r="J4" s="204" t="s">
        <v>575</v>
      </c>
      <c r="K4" s="204" t="s">
        <v>575</v>
      </c>
      <c r="L4" s="204" t="s">
        <v>575</v>
      </c>
    </row>
    <row r="5" spans="1:15" x14ac:dyDescent="0.3">
      <c r="J5" s="207">
        <f ca="1">SUM(J8:J151)</f>
        <v>0</v>
      </c>
      <c r="K5" s="207">
        <f ca="1">SUM(K8:K151)</f>
        <v>0</v>
      </c>
      <c r="L5" s="207">
        <f>SUM(L8:L151)</f>
        <v>0</v>
      </c>
    </row>
    <row r="6" spans="1:15" x14ac:dyDescent="0.3">
      <c r="A6" s="208"/>
      <c r="B6" s="187" t="s">
        <v>116</v>
      </c>
      <c r="C6" s="187" t="s">
        <v>117</v>
      </c>
      <c r="I6" s="205"/>
      <c r="J6" s="209"/>
      <c r="K6" s="209"/>
      <c r="L6" s="209"/>
    </row>
    <row r="7" spans="1:15" x14ac:dyDescent="0.3">
      <c r="A7" s="208"/>
      <c r="B7" s="187"/>
      <c r="I7" s="205"/>
      <c r="J7" s="209"/>
      <c r="K7" s="209"/>
      <c r="L7" s="209"/>
    </row>
    <row r="8" spans="1:15" x14ac:dyDescent="0.3">
      <c r="A8" s="208" t="str">
        <f ca="1">IF(SUM(G8:H8)&gt;0,"s","h")</f>
        <v>s</v>
      </c>
      <c r="B8" s="187" t="s">
        <v>114</v>
      </c>
      <c r="C8" s="187" t="s">
        <v>118</v>
      </c>
      <c r="D8" s="210">
        <v>100</v>
      </c>
      <c r="E8" s="211">
        <v>1</v>
      </c>
      <c r="F8" s="212">
        <f ca="1">SUMIF(MLS!$C$8:$N$376,BC_TinhHinh_TaiChinh!D8,MLS!$N$8:$N$376)*E8</f>
        <v>60567478250</v>
      </c>
      <c r="G8" s="212">
        <f ca="1">SUMIF(MLS!$C$8:$M$376,BC_TinhHinh_TaiChinh!D8,MLS!$M$8:$M$376)*E8</f>
        <v>9751229551</v>
      </c>
      <c r="H8" s="212">
        <f>SUMIFS(MLS!$I:$I,MLS!$C:$C,BC_TinhHinh_TaiChinh!D8)*BC_TinhHinh_TaiChinh!E8</f>
        <v>1886766062</v>
      </c>
      <c r="I8" s="213"/>
      <c r="J8" s="214">
        <f ca="1">F8-F10-F14-F19-F29-F33</f>
        <v>0</v>
      </c>
      <c r="K8" s="214">
        <f ca="1">G8-G10-G14-G19-G29-G33</f>
        <v>0</v>
      </c>
      <c r="L8" s="214">
        <f>H8-H10-H14-H19-H29-H33</f>
        <v>0</v>
      </c>
      <c r="N8" s="294">
        <v>9751229551</v>
      </c>
      <c r="O8" s="294">
        <v>1886766062</v>
      </c>
    </row>
    <row r="9" spans="1:15" x14ac:dyDescent="0.3">
      <c r="A9" s="208"/>
      <c r="I9" s="205"/>
      <c r="J9" s="209"/>
      <c r="K9" s="209"/>
      <c r="L9" s="209"/>
      <c r="N9" s="294">
        <v>0</v>
      </c>
      <c r="O9" s="294">
        <v>0</v>
      </c>
    </row>
    <row r="10" spans="1:15" x14ac:dyDescent="0.3">
      <c r="A10" s="208" t="str">
        <f t="shared" ref="A10:A12" ca="1" si="0">IF(SUM(G10:H10)&gt;0,"s","h")</f>
        <v>s</v>
      </c>
      <c r="B10" s="187" t="s">
        <v>6</v>
      </c>
      <c r="C10" s="187" t="s">
        <v>120</v>
      </c>
      <c r="D10" s="210">
        <v>110</v>
      </c>
      <c r="E10" s="211">
        <v>1</v>
      </c>
      <c r="F10" s="212">
        <f ca="1">SUMIF(MLS!$C$8:$N$376,BC_TinhHinh_TaiChinh!D10,MLS!$N$8:$N$376)*E10</f>
        <v>59787114606</v>
      </c>
      <c r="G10" s="212">
        <f ca="1">SUMIF(MLS!$C$8:$M$376,BC_TinhHinh_TaiChinh!D10,MLS!$M$8:$M$376)*E10</f>
        <v>51229551</v>
      </c>
      <c r="H10" s="212">
        <f>SUMIFS(MLS!$I:$I,MLS!$C:$C,BC_TinhHinh_TaiChinh!D10)*BC_TinhHinh_TaiChinh!E10</f>
        <v>216580398</v>
      </c>
      <c r="I10" s="213"/>
      <c r="J10" s="214">
        <f ca="1">SUM(F11:F12)-F10</f>
        <v>0</v>
      </c>
      <c r="K10" s="214">
        <f ca="1">SUM(G11:G12)-G10</f>
        <v>0</v>
      </c>
      <c r="L10" s="214">
        <f>SUM(H11:H12)-H10</f>
        <v>0</v>
      </c>
      <c r="N10" s="294">
        <v>51229551</v>
      </c>
      <c r="O10" s="294">
        <v>216580398</v>
      </c>
    </row>
    <row r="11" spans="1:15" x14ac:dyDescent="0.3">
      <c r="A11" s="208" t="str">
        <f t="shared" ca="1" si="0"/>
        <v>s</v>
      </c>
      <c r="B11" s="215" t="s">
        <v>4</v>
      </c>
      <c r="C11" s="215" t="s">
        <v>121</v>
      </c>
      <c r="D11" s="188">
        <v>111</v>
      </c>
      <c r="E11" s="211">
        <v>1</v>
      </c>
      <c r="F11" s="205">
        <f ca="1">SUMIF(MLS!$C$8:$N$376,BC_TinhHinh_TaiChinh!D11,MLS!$N$8:$N$376)*E11</f>
        <v>59787114606</v>
      </c>
      <c r="G11" s="205">
        <f ca="1">SUMIF(MLS!$C$8:$M$376,BC_TinhHinh_TaiChinh!D11,MLS!$M$8:$M$376)*E11</f>
        <v>51229551</v>
      </c>
      <c r="H11" s="205">
        <f>SUMIFS(MLS!$I:$I,MLS!$C:$C,BC_TinhHinh_TaiChinh!D11)*BC_TinhHinh_TaiChinh!E11</f>
        <v>216580398</v>
      </c>
      <c r="I11" s="213"/>
      <c r="J11" s="209"/>
      <c r="K11" s="209"/>
      <c r="L11" s="209"/>
      <c r="N11" s="294">
        <v>51229551</v>
      </c>
      <c r="O11" s="294">
        <v>216580398</v>
      </c>
    </row>
    <row r="12" spans="1:15" x14ac:dyDescent="0.3">
      <c r="A12" s="208" t="str">
        <f t="shared" ca="1" si="0"/>
        <v>h</v>
      </c>
      <c r="B12" s="215" t="s">
        <v>5</v>
      </c>
      <c r="C12" s="215" t="s">
        <v>122</v>
      </c>
      <c r="D12" s="188">
        <v>112</v>
      </c>
      <c r="E12" s="211">
        <v>1</v>
      </c>
      <c r="F12" s="205">
        <f ca="1">SUMIF(MLS!$C$8:$N$376,BC_TinhHinh_TaiChinh!D12,MLS!$N$8:$N$376)*E12</f>
        <v>0</v>
      </c>
      <c r="G12" s="205">
        <f ca="1">SUMIF(MLS!$C$8:$M$376,BC_TinhHinh_TaiChinh!D12,MLS!$M$8:$M$376)*E12</f>
        <v>0</v>
      </c>
      <c r="H12" s="205">
        <f>SUMIFS(MLS!$I:$I,MLS!$C:$C,BC_TinhHinh_TaiChinh!D12)*BC_TinhHinh_TaiChinh!E12</f>
        <v>0</v>
      </c>
      <c r="I12" s="213"/>
      <c r="J12" s="209"/>
      <c r="K12" s="209"/>
      <c r="L12" s="209"/>
      <c r="N12" s="294">
        <v>0</v>
      </c>
      <c r="O12" s="294">
        <v>0</v>
      </c>
    </row>
    <row r="13" spans="1:15" x14ac:dyDescent="0.3">
      <c r="A13" s="208"/>
      <c r="I13" s="205"/>
      <c r="J13" s="209"/>
      <c r="K13" s="209"/>
      <c r="L13" s="209"/>
      <c r="N13" s="294">
        <v>0</v>
      </c>
      <c r="O13" s="294">
        <v>0</v>
      </c>
    </row>
    <row r="14" spans="1:15" x14ac:dyDescent="0.3">
      <c r="A14" s="208" t="str">
        <f t="shared" ref="A14:A17" ca="1" si="1">IF(SUM(G14:H14)&gt;0,"s","h")</f>
        <v>h</v>
      </c>
      <c r="B14" s="187" t="s">
        <v>7</v>
      </c>
      <c r="C14" s="187" t="s">
        <v>123</v>
      </c>
      <c r="D14" s="210">
        <v>120</v>
      </c>
      <c r="E14" s="211">
        <v>1</v>
      </c>
      <c r="F14" s="205">
        <f ca="1">SUMIF(MLS!$C$8:$N$376,BC_TinhHinh_TaiChinh!D14,MLS!$N$8:$N$376)*E14</f>
        <v>0</v>
      </c>
      <c r="G14" s="205">
        <f ca="1">SUMIF(MLS!$C$8:$M$376,BC_TinhHinh_TaiChinh!D14,MLS!$M$8:$M$376)*E14</f>
        <v>0</v>
      </c>
      <c r="H14" s="205">
        <f>SUMIFS(MLS!$I:$I,MLS!$C:$C,BC_TinhHinh_TaiChinh!D14)*BC_TinhHinh_TaiChinh!E14</f>
        <v>0</v>
      </c>
      <c r="I14" s="213"/>
      <c r="J14" s="214">
        <f ca="1">SUM(F15:F17)-F14</f>
        <v>0</v>
      </c>
      <c r="K14" s="214">
        <f ca="1">SUM(G15:G17)-G14</f>
        <v>0</v>
      </c>
      <c r="L14" s="214">
        <f>SUM(H15:H17)-H14</f>
        <v>0</v>
      </c>
      <c r="N14" s="294">
        <v>0</v>
      </c>
      <c r="O14" s="294">
        <v>0</v>
      </c>
    </row>
    <row r="15" spans="1:15" x14ac:dyDescent="0.3">
      <c r="A15" s="208" t="str">
        <f t="shared" ca="1" si="1"/>
        <v>h</v>
      </c>
      <c r="B15" s="215" t="s">
        <v>8</v>
      </c>
      <c r="C15" s="215" t="s">
        <v>124</v>
      </c>
      <c r="D15" s="188">
        <v>121</v>
      </c>
      <c r="E15" s="211">
        <v>1</v>
      </c>
      <c r="F15" s="205">
        <f ca="1">SUMIF(MLS!$C$8:$N$376,BC_TinhHinh_TaiChinh!D15,MLS!$N$8:$N$376)*E15</f>
        <v>0</v>
      </c>
      <c r="G15" s="205">
        <f ca="1">SUMIF(MLS!$C$8:$M$376,BC_TinhHinh_TaiChinh!D15,MLS!$M$8:$M$376)*E15</f>
        <v>0</v>
      </c>
      <c r="H15" s="205">
        <f>SUMIFS(MLS!$I:$I,MLS!$C:$C,BC_TinhHinh_TaiChinh!D15)*BC_TinhHinh_TaiChinh!E15</f>
        <v>0</v>
      </c>
      <c r="I15" s="213"/>
      <c r="J15" s="209"/>
      <c r="K15" s="209"/>
      <c r="L15" s="209"/>
      <c r="N15" s="294">
        <v>0</v>
      </c>
      <c r="O15" s="294">
        <v>0</v>
      </c>
    </row>
    <row r="16" spans="1:15" x14ac:dyDescent="0.3">
      <c r="A16" s="208" t="str">
        <f t="shared" ca="1" si="1"/>
        <v>h</v>
      </c>
      <c r="B16" s="215" t="s">
        <v>9</v>
      </c>
      <c r="C16" s="215" t="s">
        <v>125</v>
      </c>
      <c r="D16" s="188">
        <v>122</v>
      </c>
      <c r="E16" s="211">
        <v>1</v>
      </c>
      <c r="F16" s="205">
        <f ca="1">SUMIF(MLS!$C$8:$N$376,BC_TinhHinh_TaiChinh!D16,MLS!$N$8:$N$376)*E16</f>
        <v>0</v>
      </c>
      <c r="G16" s="205">
        <f ca="1">SUMIF(MLS!$C$8:$M$376,BC_TinhHinh_TaiChinh!D16,MLS!$M$8:$M$376)*E16</f>
        <v>0</v>
      </c>
      <c r="H16" s="205">
        <f>SUMIFS(MLS!$I:$I,MLS!$C:$C,BC_TinhHinh_TaiChinh!D16)*BC_TinhHinh_TaiChinh!E16</f>
        <v>0</v>
      </c>
      <c r="I16" s="213"/>
      <c r="J16" s="209"/>
      <c r="K16" s="209"/>
      <c r="L16" s="209"/>
      <c r="N16" s="294">
        <v>0</v>
      </c>
      <c r="O16" s="294">
        <v>0</v>
      </c>
    </row>
    <row r="17" spans="1:15" x14ac:dyDescent="0.3">
      <c r="A17" s="208" t="str">
        <f t="shared" ca="1" si="1"/>
        <v>h</v>
      </c>
      <c r="B17" s="215" t="s">
        <v>10</v>
      </c>
      <c r="C17" s="215" t="s">
        <v>126</v>
      </c>
      <c r="D17" s="188">
        <v>123</v>
      </c>
      <c r="E17" s="211">
        <v>1</v>
      </c>
      <c r="F17" s="205">
        <f ca="1">SUMIF(MLS!$C$8:$N$376,BC_TinhHinh_TaiChinh!D17,MLS!$N$8:$N$376)*E17</f>
        <v>0</v>
      </c>
      <c r="G17" s="205">
        <f ca="1">SUMIF(MLS!$C$8:$M$376,BC_TinhHinh_TaiChinh!D17,MLS!$M$8:$M$376)*E17</f>
        <v>0</v>
      </c>
      <c r="H17" s="205">
        <f>SUMIFS(MLS!$I:$I,MLS!$C:$C,BC_TinhHinh_TaiChinh!D17)*BC_TinhHinh_TaiChinh!E17</f>
        <v>0</v>
      </c>
      <c r="I17" s="213"/>
      <c r="J17" s="209"/>
      <c r="K17" s="209"/>
      <c r="L17" s="209"/>
      <c r="N17" s="294">
        <v>0</v>
      </c>
      <c r="O17" s="294">
        <v>0</v>
      </c>
    </row>
    <row r="18" spans="1:15" x14ac:dyDescent="0.3">
      <c r="A18" s="208"/>
      <c r="B18" s="216"/>
      <c r="I18" s="205"/>
      <c r="J18" s="209"/>
      <c r="K18" s="209"/>
      <c r="L18" s="209"/>
      <c r="N18" s="294">
        <v>0</v>
      </c>
      <c r="O18" s="294">
        <v>0</v>
      </c>
    </row>
    <row r="19" spans="1:15" x14ac:dyDescent="0.3">
      <c r="A19" s="208" t="str">
        <f t="shared" ref="A19:A27" ca="1" si="2">IF(SUM(G19:H19)&gt;0,"s","h")</f>
        <v>s</v>
      </c>
      <c r="B19" s="187" t="s">
        <v>11</v>
      </c>
      <c r="C19" s="187" t="s">
        <v>127</v>
      </c>
      <c r="D19" s="210">
        <v>130</v>
      </c>
      <c r="E19" s="211">
        <v>1</v>
      </c>
      <c r="F19" s="212">
        <f ca="1">SUMIF(MLS!$C$8:$N$376,BC_TinhHinh_TaiChinh!D19,MLS!$N$8:$N$376)*E19</f>
        <v>400000000</v>
      </c>
      <c r="G19" s="212">
        <f ca="1">SUMIF(MLS!$C$8:$M$376,BC_TinhHinh_TaiChinh!D19,MLS!$M$8:$M$376)*E19</f>
        <v>9700000000</v>
      </c>
      <c r="H19" s="212">
        <f>SUMIFS(MLS!$I:$I,MLS!$C:$C,BC_TinhHinh_TaiChinh!D19)*BC_TinhHinh_TaiChinh!E19</f>
        <v>411181683</v>
      </c>
      <c r="I19" s="213"/>
      <c r="J19" s="214">
        <f ca="1">SUM(F20:F27)-F19</f>
        <v>0</v>
      </c>
      <c r="K19" s="214">
        <f ca="1">SUM(G20:G27)-G19</f>
        <v>0</v>
      </c>
      <c r="L19" s="214">
        <f>SUM(H20:H27)-H19</f>
        <v>0</v>
      </c>
      <c r="N19" s="294">
        <v>9700000000</v>
      </c>
      <c r="O19" s="294">
        <v>411181683</v>
      </c>
    </row>
    <row r="20" spans="1:15" x14ac:dyDescent="0.3">
      <c r="A20" s="208" t="str">
        <f t="shared" ca="1" si="2"/>
        <v>s</v>
      </c>
      <c r="B20" s="215" t="s">
        <v>12</v>
      </c>
      <c r="C20" s="215" t="s">
        <v>128</v>
      </c>
      <c r="D20" s="188">
        <v>131</v>
      </c>
      <c r="E20" s="211">
        <v>1</v>
      </c>
      <c r="F20" s="217">
        <f ca="1">SUMIF(MLS!$C$8:$N$376,BC_TinhHinh_TaiChinh!D20,MLS!$N$8:$N$376)*E20</f>
        <v>0</v>
      </c>
      <c r="G20" s="217">
        <f ca="1">SUMIF(MLS!$C$8:$M$376,BC_TinhHinh_TaiChinh!D20,MLS!$M$8:$M$376)*E20</f>
        <v>9300000000</v>
      </c>
      <c r="H20" s="217">
        <f>SUMIFS(MLS!$I:$I,MLS!$C:$C,BC_TinhHinh_TaiChinh!D20)*BC_TinhHinh_TaiChinh!E20</f>
        <v>0</v>
      </c>
      <c r="I20" s="213"/>
      <c r="J20" s="209"/>
      <c r="K20" s="209"/>
      <c r="L20" s="209"/>
      <c r="N20" s="294">
        <v>9300000000</v>
      </c>
      <c r="O20" s="294">
        <v>0</v>
      </c>
    </row>
    <row r="21" spans="1:15" x14ac:dyDescent="0.3">
      <c r="A21" s="208" t="str">
        <f t="shared" ca="1" si="2"/>
        <v>h</v>
      </c>
      <c r="B21" s="215" t="s">
        <v>13</v>
      </c>
      <c r="C21" s="215" t="s">
        <v>129</v>
      </c>
      <c r="D21" s="188">
        <v>132</v>
      </c>
      <c r="E21" s="211">
        <v>1</v>
      </c>
      <c r="F21" s="205">
        <f ca="1">SUMIF(MLS!$C$8:$N$376,BC_TinhHinh_TaiChinh!D21,MLS!$N$8:$N$376)*E21</f>
        <v>0</v>
      </c>
      <c r="G21" s="205">
        <f ca="1">SUMIF(MLS!$C$8:$M$376,BC_TinhHinh_TaiChinh!D21,MLS!$M$8:$M$376)*E21</f>
        <v>0</v>
      </c>
      <c r="H21" s="205">
        <f>SUMIFS(MLS!$I:$I,MLS!$C:$C,BC_TinhHinh_TaiChinh!D21)*BC_TinhHinh_TaiChinh!E21</f>
        <v>0</v>
      </c>
      <c r="I21" s="213"/>
      <c r="J21" s="209"/>
      <c r="K21" s="209"/>
      <c r="L21" s="209"/>
      <c r="N21" s="294">
        <v>0</v>
      </c>
      <c r="O21" s="294">
        <v>0</v>
      </c>
    </row>
    <row r="22" spans="1:15" x14ac:dyDescent="0.3">
      <c r="A22" s="208" t="str">
        <f t="shared" ca="1" si="2"/>
        <v>h</v>
      </c>
      <c r="B22" s="215" t="s">
        <v>14</v>
      </c>
      <c r="C22" s="215" t="s">
        <v>130</v>
      </c>
      <c r="D22" s="188">
        <v>133</v>
      </c>
      <c r="E22" s="211">
        <v>1</v>
      </c>
      <c r="F22" s="205">
        <f ca="1">SUMIF(MLS!$C$8:$N$376,BC_TinhHinh_TaiChinh!D22,MLS!$N$8:$N$376)*E22</f>
        <v>0</v>
      </c>
      <c r="G22" s="205">
        <f ca="1">SUMIF(MLS!$C$8:$M$376,BC_TinhHinh_TaiChinh!D22,MLS!$M$8:$M$376)*E22</f>
        <v>0</v>
      </c>
      <c r="H22" s="205">
        <f>SUMIFS(MLS!$I:$I,MLS!$C:$C,BC_TinhHinh_TaiChinh!D22)*BC_TinhHinh_TaiChinh!E22</f>
        <v>0</v>
      </c>
      <c r="I22" s="213"/>
      <c r="J22" s="209"/>
      <c r="K22" s="209"/>
      <c r="L22" s="209"/>
      <c r="N22" s="294">
        <v>0</v>
      </c>
      <c r="O22" s="294">
        <v>0</v>
      </c>
    </row>
    <row r="23" spans="1:15" x14ac:dyDescent="0.3">
      <c r="A23" s="208" t="str">
        <f t="shared" ca="1" si="2"/>
        <v>h</v>
      </c>
      <c r="B23" s="215" t="s">
        <v>15</v>
      </c>
      <c r="C23" s="215" t="s">
        <v>131</v>
      </c>
      <c r="D23" s="188">
        <v>134</v>
      </c>
      <c r="E23" s="211">
        <v>1</v>
      </c>
      <c r="F23" s="205">
        <f ca="1">SUMIF(MLS!$C$8:$N$376,BC_TinhHinh_TaiChinh!D23,MLS!$N$8:$N$376)*E23</f>
        <v>0</v>
      </c>
      <c r="G23" s="205">
        <f ca="1">SUMIF(MLS!$C$8:$M$376,BC_TinhHinh_TaiChinh!D23,MLS!$M$8:$M$376)*E23</f>
        <v>0</v>
      </c>
      <c r="H23" s="205">
        <f>SUMIFS(MLS!$I:$I,MLS!$C:$C,BC_TinhHinh_TaiChinh!D23)*BC_TinhHinh_TaiChinh!E23</f>
        <v>0</v>
      </c>
      <c r="I23" s="213"/>
      <c r="J23" s="209"/>
      <c r="K23" s="209"/>
      <c r="L23" s="209"/>
      <c r="N23" s="294">
        <v>0</v>
      </c>
      <c r="O23" s="294">
        <v>0</v>
      </c>
    </row>
    <row r="24" spans="1:15" x14ac:dyDescent="0.3">
      <c r="A24" s="208" t="str">
        <f t="shared" ca="1" si="2"/>
        <v>h</v>
      </c>
      <c r="B24" s="215" t="s">
        <v>16</v>
      </c>
      <c r="C24" s="215" t="s">
        <v>132</v>
      </c>
      <c r="D24" s="188">
        <v>135</v>
      </c>
      <c r="E24" s="211">
        <v>1</v>
      </c>
      <c r="F24" s="205">
        <f ca="1">SUMIF(MLS!$C$8:$N$376,BC_TinhHinh_TaiChinh!D24,MLS!$N$8:$N$376)*E24</f>
        <v>0</v>
      </c>
      <c r="G24" s="205">
        <f ca="1">SUMIF(MLS!$C$8:$M$376,BC_TinhHinh_TaiChinh!D24,MLS!$M$8:$M$376)*E24</f>
        <v>0</v>
      </c>
      <c r="H24" s="205">
        <f>SUMIFS(MLS!$I:$I,MLS!$C:$C,BC_TinhHinh_TaiChinh!D24)*BC_TinhHinh_TaiChinh!E24</f>
        <v>0</v>
      </c>
      <c r="I24" s="213"/>
      <c r="J24" s="209"/>
      <c r="K24" s="209"/>
      <c r="L24" s="209"/>
      <c r="N24" s="294">
        <v>0</v>
      </c>
      <c r="O24" s="294">
        <v>0</v>
      </c>
    </row>
    <row r="25" spans="1:15" x14ac:dyDescent="0.3">
      <c r="A25" s="208" t="str">
        <f t="shared" ca="1" si="2"/>
        <v>s</v>
      </c>
      <c r="B25" s="215" t="s">
        <v>17</v>
      </c>
      <c r="C25" s="215" t="s">
        <v>133</v>
      </c>
      <c r="D25" s="188">
        <v>136</v>
      </c>
      <c r="E25" s="211">
        <v>1</v>
      </c>
      <c r="F25" s="205">
        <f ca="1">SUMIF(MLS!$C$8:$N$376,BC_TinhHinh_TaiChinh!D25,MLS!$N$8:$N$376)*E25</f>
        <v>400000000</v>
      </c>
      <c r="G25" s="205">
        <f ca="1">SUMIF(MLS!$C$8:$M$376,BC_TinhHinh_TaiChinh!D25,MLS!$M$8:$M$376)*E25</f>
        <v>400000000</v>
      </c>
      <c r="H25" s="205">
        <f>SUMIFS(MLS!$I:$I,MLS!$C:$C,BC_TinhHinh_TaiChinh!D25)*BC_TinhHinh_TaiChinh!E25</f>
        <v>411181683</v>
      </c>
      <c r="I25" s="213"/>
      <c r="J25" s="209"/>
      <c r="K25" s="209"/>
      <c r="L25" s="209"/>
      <c r="N25" s="294">
        <v>400000000</v>
      </c>
      <c r="O25" s="294">
        <v>411181683</v>
      </c>
    </row>
    <row r="26" spans="1:15" x14ac:dyDescent="0.3">
      <c r="A26" s="208" t="str">
        <f t="shared" ca="1" si="2"/>
        <v>h</v>
      </c>
      <c r="B26" s="215" t="s">
        <v>18</v>
      </c>
      <c r="C26" s="215" t="s">
        <v>134</v>
      </c>
      <c r="D26" s="188">
        <v>137</v>
      </c>
      <c r="E26" s="211">
        <v>1</v>
      </c>
      <c r="F26" s="205">
        <f ca="1">SUMIF(MLS!$C$8:$N$376,BC_TinhHinh_TaiChinh!D26,MLS!$N$8:$N$376)*E26</f>
        <v>0</v>
      </c>
      <c r="G26" s="205">
        <f ca="1">SUMIF(MLS!$C$8:$M$376,BC_TinhHinh_TaiChinh!D26,MLS!$M$8:$M$376)*E26</f>
        <v>0</v>
      </c>
      <c r="H26" s="205">
        <f>SUMIFS(MLS!$I:$I,MLS!$C:$C,BC_TinhHinh_TaiChinh!D26)*BC_TinhHinh_TaiChinh!E26</f>
        <v>0</v>
      </c>
      <c r="I26" s="213"/>
      <c r="J26" s="209"/>
      <c r="K26" s="209"/>
      <c r="L26" s="209"/>
      <c r="N26" s="294">
        <v>0</v>
      </c>
      <c r="O26" s="294">
        <v>0</v>
      </c>
    </row>
    <row r="27" spans="1:15" x14ac:dyDescent="0.3">
      <c r="A27" s="208" t="str">
        <f t="shared" ca="1" si="2"/>
        <v>h</v>
      </c>
      <c r="B27" s="215" t="s">
        <v>19</v>
      </c>
      <c r="C27" s="215" t="s">
        <v>135</v>
      </c>
      <c r="D27" s="188">
        <v>139</v>
      </c>
      <c r="E27" s="211">
        <v>1</v>
      </c>
      <c r="F27" s="205">
        <f ca="1">SUMIF(MLS!$C$8:$N$376,BC_TinhHinh_TaiChinh!D27,MLS!$N$8:$N$376)*E27</f>
        <v>0</v>
      </c>
      <c r="G27" s="205">
        <f ca="1">SUMIF(MLS!$C$8:$M$376,BC_TinhHinh_TaiChinh!D27,MLS!$M$8:$M$376)*E27</f>
        <v>0</v>
      </c>
      <c r="H27" s="205">
        <f>SUMIFS(MLS!$I:$I,MLS!$C:$C,BC_TinhHinh_TaiChinh!D27)*BC_TinhHinh_TaiChinh!E27</f>
        <v>0</v>
      </c>
      <c r="I27" s="213"/>
      <c r="J27" s="209"/>
      <c r="K27" s="209"/>
      <c r="L27" s="209"/>
      <c r="N27" s="294">
        <v>0</v>
      </c>
      <c r="O27" s="294">
        <v>0</v>
      </c>
    </row>
    <row r="28" spans="1:15" x14ac:dyDescent="0.3">
      <c r="A28" s="208"/>
      <c r="I28" s="205"/>
      <c r="J28" s="209"/>
      <c r="K28" s="209"/>
      <c r="L28" s="209"/>
      <c r="N28" s="294">
        <v>0</v>
      </c>
      <c r="O28" s="294">
        <v>0</v>
      </c>
    </row>
    <row r="29" spans="1:15" x14ac:dyDescent="0.3">
      <c r="A29" s="208" t="str">
        <f t="shared" ref="A29:A31" ca="1" si="3">IF(SUM(G29:H29)&gt;0,"s","h")</f>
        <v>h</v>
      </c>
      <c r="B29" s="187" t="s">
        <v>20</v>
      </c>
      <c r="C29" s="187" t="s">
        <v>136</v>
      </c>
      <c r="D29" s="210">
        <v>140</v>
      </c>
      <c r="E29" s="211">
        <v>1</v>
      </c>
      <c r="F29" s="212">
        <f ca="1">SUMIF(MLS!$C$8:$N$376,BC_TinhHinh_TaiChinh!D29,MLS!$N$8:$N$376)*E29</f>
        <v>0</v>
      </c>
      <c r="G29" s="212">
        <f ca="1">SUMIF(MLS!$C$8:$M$376,BC_TinhHinh_TaiChinh!D29,MLS!$M$8:$M$376)*E29</f>
        <v>0</v>
      </c>
      <c r="H29" s="212">
        <f>SUMIFS(MLS!$I:$I,MLS!$C:$C,BC_TinhHinh_TaiChinh!D29)*BC_TinhHinh_TaiChinh!E29</f>
        <v>0</v>
      </c>
      <c r="I29" s="213"/>
      <c r="J29" s="214">
        <f ca="1">SUM(F30:F31)-F29</f>
        <v>0</v>
      </c>
      <c r="K29" s="214">
        <f ca="1">SUM(G30:G31)-G29</f>
        <v>0</v>
      </c>
      <c r="L29" s="214">
        <f>SUM(H30:H31)-H29</f>
        <v>0</v>
      </c>
      <c r="N29" s="294">
        <v>0</v>
      </c>
      <c r="O29" s="294">
        <v>0</v>
      </c>
    </row>
    <row r="30" spans="1:15" x14ac:dyDescent="0.3">
      <c r="A30" s="208" t="str">
        <f t="shared" ca="1" si="3"/>
        <v>h</v>
      </c>
      <c r="B30" s="215" t="s">
        <v>20</v>
      </c>
      <c r="C30" s="215" t="s">
        <v>136</v>
      </c>
      <c r="D30" s="188">
        <v>141</v>
      </c>
      <c r="E30" s="211">
        <v>1</v>
      </c>
      <c r="F30" s="205">
        <f ca="1">SUMIF(MLS!$C$8:$N$376,BC_TinhHinh_TaiChinh!D30,MLS!$N$8:$N$376)*E30</f>
        <v>0</v>
      </c>
      <c r="G30" s="205">
        <f ca="1">SUMIF(MLS!$C$8:$M$376,BC_TinhHinh_TaiChinh!D30,MLS!$M$8:$M$376)*E30</f>
        <v>0</v>
      </c>
      <c r="H30" s="205">
        <f>SUMIFS(MLS!$I:$I,MLS!$C:$C,BC_TinhHinh_TaiChinh!D30)*BC_TinhHinh_TaiChinh!E30</f>
        <v>0</v>
      </c>
      <c r="I30" s="213"/>
      <c r="J30" s="209"/>
      <c r="K30" s="209"/>
      <c r="L30" s="209"/>
      <c r="N30" s="294">
        <v>0</v>
      </c>
      <c r="O30" s="294">
        <v>0</v>
      </c>
    </row>
    <row r="31" spans="1:15" x14ac:dyDescent="0.3">
      <c r="A31" s="208" t="str">
        <f t="shared" ca="1" si="3"/>
        <v>h</v>
      </c>
      <c r="B31" s="215" t="s">
        <v>21</v>
      </c>
      <c r="C31" s="215" t="s">
        <v>137</v>
      </c>
      <c r="D31" s="188">
        <v>149</v>
      </c>
      <c r="E31" s="211">
        <v>1</v>
      </c>
      <c r="F31" s="205">
        <f ca="1">SUMIF(MLS!$C$8:$N$376,BC_TinhHinh_TaiChinh!D31,MLS!$N$8:$N$376)*E31</f>
        <v>0</v>
      </c>
      <c r="G31" s="205">
        <f ca="1">SUMIF(MLS!$C$8:$M$376,BC_TinhHinh_TaiChinh!D31,MLS!$M$8:$M$376)*E31</f>
        <v>0</v>
      </c>
      <c r="H31" s="205">
        <f>SUMIFS(MLS!$I:$I,MLS!$C:$C,BC_TinhHinh_TaiChinh!D31)*BC_TinhHinh_TaiChinh!E31</f>
        <v>0</v>
      </c>
      <c r="I31" s="213"/>
      <c r="J31" s="209"/>
      <c r="K31" s="209"/>
      <c r="L31" s="209"/>
      <c r="N31" s="294">
        <v>0</v>
      </c>
      <c r="O31" s="294">
        <v>0</v>
      </c>
    </row>
    <row r="32" spans="1:15" x14ac:dyDescent="0.3">
      <c r="A32" s="208"/>
      <c r="I32" s="205"/>
      <c r="J32" s="209"/>
      <c r="K32" s="209"/>
      <c r="L32" s="209"/>
      <c r="N32" s="294">
        <v>0</v>
      </c>
      <c r="O32" s="294">
        <v>0</v>
      </c>
    </row>
    <row r="33" spans="1:15" x14ac:dyDescent="0.3">
      <c r="A33" s="208" t="str">
        <f t="shared" ref="A33:A38" ca="1" si="4">IF(SUM(G33:H33)&gt;0,"s","h")</f>
        <v>s</v>
      </c>
      <c r="B33" s="187" t="s">
        <v>22</v>
      </c>
      <c r="C33" s="187" t="s">
        <v>138</v>
      </c>
      <c r="D33" s="210">
        <v>150</v>
      </c>
      <c r="E33" s="211">
        <v>1</v>
      </c>
      <c r="F33" s="212">
        <f ca="1">SUMIF(MLS!$C$8:$N$376,BC_TinhHinh_TaiChinh!D33,MLS!$N$8:$N$376)*E33</f>
        <v>380363644</v>
      </c>
      <c r="G33" s="212">
        <f ca="1">SUMIF(MLS!$C$8:$M$376,BC_TinhHinh_TaiChinh!D33,MLS!$M$8:$M$376)*E33</f>
        <v>0</v>
      </c>
      <c r="H33" s="212">
        <f>SUMIFS(MLS!$I:$I,MLS!$C:$C,BC_TinhHinh_TaiChinh!D33)*BC_TinhHinh_TaiChinh!E33</f>
        <v>1259003981</v>
      </c>
      <c r="I33" s="213"/>
      <c r="J33" s="214">
        <f ca="1">SUM(F34:F38)-F33</f>
        <v>0</v>
      </c>
      <c r="K33" s="214">
        <f ca="1">SUM(G34:G38)-G33</f>
        <v>0</v>
      </c>
      <c r="L33" s="214">
        <f>SUM(H34:H38)-H33</f>
        <v>0</v>
      </c>
      <c r="N33" s="294">
        <v>0</v>
      </c>
      <c r="O33" s="294">
        <v>1259003981</v>
      </c>
    </row>
    <row r="34" spans="1:15" x14ac:dyDescent="0.3">
      <c r="A34" s="208" t="str">
        <f t="shared" ca="1" si="4"/>
        <v>h</v>
      </c>
      <c r="B34" s="215" t="s">
        <v>23</v>
      </c>
      <c r="C34" s="215" t="s">
        <v>139</v>
      </c>
      <c r="D34" s="188">
        <v>151</v>
      </c>
      <c r="E34" s="211">
        <v>1</v>
      </c>
      <c r="F34" s="205">
        <f ca="1">SUMIF(MLS!$C$8:$N$376,BC_TinhHinh_TaiChinh!D34,MLS!$N$8:$N$376)*E34</f>
        <v>0</v>
      </c>
      <c r="G34" s="205">
        <f ca="1">SUMIF(MLS!$C$8:$M$376,BC_TinhHinh_TaiChinh!D34,MLS!$M$8:$M$376)*E34</f>
        <v>0</v>
      </c>
      <c r="H34" s="205">
        <f>SUMIFS(MLS!$I:$I,MLS!$C:$C,BC_TinhHinh_TaiChinh!D34)*BC_TinhHinh_TaiChinh!E34</f>
        <v>0</v>
      </c>
      <c r="I34" s="213"/>
      <c r="J34" s="209"/>
      <c r="K34" s="209"/>
      <c r="L34" s="209"/>
      <c r="N34" s="294">
        <v>0</v>
      </c>
      <c r="O34" s="294">
        <v>0</v>
      </c>
    </row>
    <row r="35" spans="1:15" x14ac:dyDescent="0.3">
      <c r="A35" s="208" t="str">
        <f t="shared" ca="1" si="4"/>
        <v>s</v>
      </c>
      <c r="B35" s="215" t="s">
        <v>24</v>
      </c>
      <c r="C35" s="215" t="s">
        <v>140</v>
      </c>
      <c r="D35" s="188">
        <v>152</v>
      </c>
      <c r="E35" s="211">
        <v>1</v>
      </c>
      <c r="F35" s="205">
        <f ca="1">SUMIF(MLS!$C$8:$N$376,BC_TinhHinh_TaiChinh!D35,MLS!$N$8:$N$376)*E35</f>
        <v>0</v>
      </c>
      <c r="G35" s="205">
        <f ca="1">SUMIF(MLS!$C$8:$M$376,BC_TinhHinh_TaiChinh!D35,MLS!$M$8:$M$376)*E35</f>
        <v>0</v>
      </c>
      <c r="H35" s="205">
        <f>SUMIFS(MLS!$I:$I,MLS!$C:$C,BC_TinhHinh_TaiChinh!D35)*BC_TinhHinh_TaiChinh!E35</f>
        <v>1259003981</v>
      </c>
      <c r="I35" s="213"/>
      <c r="J35" s="209"/>
      <c r="K35" s="209"/>
      <c r="L35" s="209"/>
      <c r="N35" s="294">
        <v>0</v>
      </c>
      <c r="O35" s="294">
        <v>1259003981</v>
      </c>
    </row>
    <row r="36" spans="1:15" x14ac:dyDescent="0.3">
      <c r="A36" s="208" t="str">
        <f t="shared" ca="1" si="4"/>
        <v>h</v>
      </c>
      <c r="B36" s="215" t="s">
        <v>25</v>
      </c>
      <c r="C36" s="215" t="s">
        <v>141</v>
      </c>
      <c r="D36" s="188">
        <v>153</v>
      </c>
      <c r="E36" s="211">
        <v>1</v>
      </c>
      <c r="F36" s="218">
        <f ca="1">SUMIF(MLS!$C$8:$N$376,BC_TinhHinh_TaiChinh!D36,MLS!$N$8:$N$376)*E36</f>
        <v>380363644</v>
      </c>
      <c r="G36" s="218">
        <f ca="1">SUMIF(MLS!$C$8:$M$376,BC_TinhHinh_TaiChinh!D36,MLS!$M$8:$M$376)*E36</f>
        <v>0</v>
      </c>
      <c r="H36" s="218">
        <f>SUMIFS(MLS!$I:$I,MLS!$C:$C,BC_TinhHinh_TaiChinh!D36)*BC_TinhHinh_TaiChinh!E36</f>
        <v>0</v>
      </c>
      <c r="I36" s="213"/>
      <c r="J36" s="209"/>
      <c r="K36" s="209"/>
      <c r="L36" s="209"/>
      <c r="N36" s="294">
        <v>0</v>
      </c>
      <c r="O36" s="294">
        <v>0</v>
      </c>
    </row>
    <row r="37" spans="1:15" x14ac:dyDescent="0.3">
      <c r="A37" s="208" t="str">
        <f t="shared" ca="1" si="4"/>
        <v>h</v>
      </c>
      <c r="B37" s="215" t="s">
        <v>26</v>
      </c>
      <c r="C37" s="215" t="s">
        <v>142</v>
      </c>
      <c r="D37" s="188">
        <v>154</v>
      </c>
      <c r="E37" s="211">
        <v>1</v>
      </c>
      <c r="F37" s="205">
        <f ca="1">SUMIF(MLS!$C$8:$N$376,BC_TinhHinh_TaiChinh!D37,MLS!$N$8:$N$376)*E37</f>
        <v>0</v>
      </c>
      <c r="G37" s="205">
        <f ca="1">SUMIF(MLS!$C$8:$M$376,BC_TinhHinh_TaiChinh!D37,MLS!$M$8:$M$376)*E37</f>
        <v>0</v>
      </c>
      <c r="H37" s="205">
        <f>SUMIFS(MLS!$I:$I,MLS!$C:$C,BC_TinhHinh_TaiChinh!D37)*BC_TinhHinh_TaiChinh!E37</f>
        <v>0</v>
      </c>
      <c r="I37" s="213"/>
      <c r="J37" s="209"/>
      <c r="K37" s="209"/>
      <c r="L37" s="209"/>
      <c r="N37" s="294">
        <v>0</v>
      </c>
      <c r="O37" s="294">
        <v>0</v>
      </c>
    </row>
    <row r="38" spans="1:15" x14ac:dyDescent="0.3">
      <c r="A38" s="208" t="str">
        <f t="shared" ca="1" si="4"/>
        <v>h</v>
      </c>
      <c r="B38" s="215" t="s">
        <v>22</v>
      </c>
      <c r="C38" s="215" t="s">
        <v>138</v>
      </c>
      <c r="D38" s="188">
        <v>155</v>
      </c>
      <c r="E38" s="211">
        <v>1</v>
      </c>
      <c r="F38" s="205">
        <f ca="1">SUMIF(MLS!$C$8:$N$376,BC_TinhHinh_TaiChinh!D38,MLS!$N$8:$N$376)*E38</f>
        <v>0</v>
      </c>
      <c r="G38" s="205">
        <f ca="1">SUMIF(MLS!$C$8:$M$376,BC_TinhHinh_TaiChinh!D38,MLS!$M$8:$M$376)*E38</f>
        <v>0</v>
      </c>
      <c r="H38" s="205">
        <f>SUMIFS(MLS!$I:$I,MLS!$C:$C,BC_TinhHinh_TaiChinh!D38)*BC_TinhHinh_TaiChinh!E38</f>
        <v>0</v>
      </c>
      <c r="I38" s="213"/>
      <c r="J38" s="209"/>
      <c r="K38" s="209"/>
      <c r="L38" s="209"/>
      <c r="N38" s="294">
        <v>0</v>
      </c>
      <c r="O38" s="294">
        <v>0</v>
      </c>
    </row>
    <row r="39" spans="1:15" x14ac:dyDescent="0.3">
      <c r="A39" s="208"/>
      <c r="I39" s="205"/>
      <c r="J39" s="209"/>
      <c r="K39" s="209"/>
      <c r="L39" s="209"/>
      <c r="N39" s="294">
        <v>0</v>
      </c>
      <c r="O39" s="294">
        <v>0</v>
      </c>
    </row>
    <row r="40" spans="1:15" x14ac:dyDescent="0.3">
      <c r="A40" s="208" t="str">
        <f ca="1">IF(SUM(G40:H40)&gt;0,"s","h")</f>
        <v>s</v>
      </c>
      <c r="B40" s="187" t="s">
        <v>115</v>
      </c>
      <c r="C40" s="187" t="s">
        <v>144</v>
      </c>
      <c r="D40" s="210">
        <v>200</v>
      </c>
      <c r="E40" s="219">
        <v>1</v>
      </c>
      <c r="F40" s="212">
        <f ca="1">SUMIF(MLS!$C$8:$N$376,BC_TinhHinh_TaiChinh!D40,MLS!$N$8:$N$376)*E40</f>
        <v>6562474281316</v>
      </c>
      <c r="G40" s="212">
        <f ca="1">SUMIF(MLS!$C$8:$M$376,BC_TinhHinh_TaiChinh!D40,MLS!$M$8:$M$376)*E40</f>
        <v>4771437055653</v>
      </c>
      <c r="H40" s="212">
        <f>SUMIFS(MLS!$I:$I,MLS!$C:$C,BC_TinhHinh_TaiChinh!D40)*BC_TinhHinh_TaiChinh!E40</f>
        <v>4941140815306</v>
      </c>
      <c r="I40" s="213"/>
      <c r="J40" s="220">
        <f ca="1">F40-F42-F51-F62-F66-F70-F77</f>
        <v>0</v>
      </c>
      <c r="K40" s="220">
        <f ca="1">G40-G42-G51-G62-G66-G70-G77</f>
        <v>0</v>
      </c>
      <c r="L40" s="220">
        <f>H40-H42-H51-H62-H66-H70-H77</f>
        <v>0</v>
      </c>
      <c r="N40" s="294">
        <v>4771437055653</v>
      </c>
      <c r="O40" s="294">
        <v>4941140815306</v>
      </c>
    </row>
    <row r="41" spans="1:15" x14ac:dyDescent="0.3">
      <c r="A41" s="208"/>
      <c r="I41" s="205"/>
      <c r="J41" s="209"/>
      <c r="K41" s="209"/>
      <c r="L41" s="209"/>
      <c r="N41" s="294">
        <v>0</v>
      </c>
      <c r="O41" s="294">
        <v>0</v>
      </c>
    </row>
    <row r="42" spans="1:15" x14ac:dyDescent="0.3">
      <c r="A42" s="208" t="str">
        <f t="shared" ref="A42:A49" ca="1" si="5">IF(SUM(G42:H42)&gt;0,"s","h")</f>
        <v>h</v>
      </c>
      <c r="B42" s="187" t="s">
        <v>28</v>
      </c>
      <c r="C42" s="187" t="s">
        <v>145</v>
      </c>
      <c r="D42" s="210">
        <v>210</v>
      </c>
      <c r="E42" s="211">
        <v>1</v>
      </c>
      <c r="F42" s="212">
        <f ca="1">SUMIF(MLS!$C$8:$N$376,BC_TinhHinh_TaiChinh!D42,MLS!$N$8:$N$376)*E42</f>
        <v>1841300000000</v>
      </c>
      <c r="G42" s="212">
        <f ca="1">SUMIF(MLS!$C$8:$M$376,BC_TinhHinh_TaiChinh!D42,MLS!$M$8:$M$376)*E42</f>
        <v>0</v>
      </c>
      <c r="H42" s="212">
        <f>SUMIFS(MLS!$I:$I,MLS!$C:$C,BC_TinhHinh_TaiChinh!D42)*BC_TinhHinh_TaiChinh!E42</f>
        <v>0</v>
      </c>
      <c r="I42" s="213"/>
      <c r="J42" s="214">
        <f ca="1">SUM(F43:F49)-F42</f>
        <v>0</v>
      </c>
      <c r="K42" s="214">
        <f ca="1">SUM(G43:G49)-G42</f>
        <v>0</v>
      </c>
      <c r="L42" s="214">
        <f>SUM(H43:H49)-H42</f>
        <v>0</v>
      </c>
      <c r="N42" s="294">
        <v>0</v>
      </c>
      <c r="O42" s="294">
        <v>0</v>
      </c>
    </row>
    <row r="43" spans="1:15" x14ac:dyDescent="0.3">
      <c r="A43" s="208" t="str">
        <f t="shared" ca="1" si="5"/>
        <v>h</v>
      </c>
      <c r="B43" s="215" t="s">
        <v>29</v>
      </c>
      <c r="C43" s="215" t="s">
        <v>146</v>
      </c>
      <c r="D43" s="188">
        <v>211</v>
      </c>
      <c r="E43" s="211">
        <v>1</v>
      </c>
      <c r="F43" s="205">
        <f ca="1">SUMIF(MLS!$C$8:$N$376,BC_TinhHinh_TaiChinh!D43,MLS!$N$8:$N$376)*E43</f>
        <v>0</v>
      </c>
      <c r="G43" s="205">
        <f ca="1">SUMIF(MLS!$C$8:$M$376,BC_TinhHinh_TaiChinh!D43,MLS!$M$8:$M$376)*E43</f>
        <v>0</v>
      </c>
      <c r="H43" s="205">
        <f>SUMIFS(MLS!$I:$I,MLS!$C:$C,BC_TinhHinh_TaiChinh!D43)*BC_TinhHinh_TaiChinh!E43</f>
        <v>0</v>
      </c>
      <c r="I43" s="213"/>
      <c r="J43" s="209"/>
      <c r="K43" s="209"/>
      <c r="L43" s="209"/>
      <c r="N43" s="294">
        <v>0</v>
      </c>
      <c r="O43" s="294">
        <v>0</v>
      </c>
    </row>
    <row r="44" spans="1:15" x14ac:dyDescent="0.3">
      <c r="A44" s="208" t="str">
        <f t="shared" ca="1" si="5"/>
        <v>h</v>
      </c>
      <c r="B44" s="215" t="s">
        <v>30</v>
      </c>
      <c r="C44" s="215" t="s">
        <v>147</v>
      </c>
      <c r="D44" s="188">
        <v>212</v>
      </c>
      <c r="E44" s="211">
        <v>1</v>
      </c>
      <c r="F44" s="205">
        <f ca="1">SUMIF(MLS!$C$8:$N$376,BC_TinhHinh_TaiChinh!D44,MLS!$N$8:$N$376)*E44</f>
        <v>0</v>
      </c>
      <c r="G44" s="205">
        <f ca="1">SUMIF(MLS!$C$8:$M$376,BC_TinhHinh_TaiChinh!D44,MLS!$M$8:$M$376)*E44</f>
        <v>0</v>
      </c>
      <c r="H44" s="205">
        <f>SUMIFS(MLS!$I:$I,MLS!$C:$C,BC_TinhHinh_TaiChinh!D44)*BC_TinhHinh_TaiChinh!E44</f>
        <v>0</v>
      </c>
      <c r="I44" s="213"/>
      <c r="J44" s="209"/>
      <c r="K44" s="209"/>
      <c r="L44" s="209"/>
      <c r="N44" s="294">
        <v>0</v>
      </c>
      <c r="O44" s="294">
        <v>0</v>
      </c>
    </row>
    <row r="45" spans="1:15" x14ac:dyDescent="0.3">
      <c r="A45" s="208" t="str">
        <f t="shared" ca="1" si="5"/>
        <v>h</v>
      </c>
      <c r="B45" s="215" t="s">
        <v>31</v>
      </c>
      <c r="C45" s="215" t="s">
        <v>148</v>
      </c>
      <c r="D45" s="188">
        <v>213</v>
      </c>
      <c r="E45" s="211">
        <v>1</v>
      </c>
      <c r="F45" s="205">
        <f ca="1">SUMIF(MLS!$C$8:$N$376,BC_TinhHinh_TaiChinh!D45,MLS!$N$8:$N$376)*E45</f>
        <v>0</v>
      </c>
      <c r="G45" s="205">
        <f ca="1">SUMIF(MLS!$C$8:$M$376,BC_TinhHinh_TaiChinh!D45,MLS!$M$8:$M$376)*E45</f>
        <v>0</v>
      </c>
      <c r="H45" s="205">
        <f>SUMIFS(MLS!$I:$I,MLS!$C:$C,BC_TinhHinh_TaiChinh!D45)*BC_TinhHinh_TaiChinh!E45</f>
        <v>0</v>
      </c>
      <c r="I45" s="213"/>
      <c r="J45" s="209"/>
      <c r="K45" s="209"/>
      <c r="L45" s="209"/>
      <c r="N45" s="294">
        <v>0</v>
      </c>
      <c r="O45" s="294">
        <v>0</v>
      </c>
    </row>
    <row r="46" spans="1:15" x14ac:dyDescent="0.3">
      <c r="A46" s="208" t="str">
        <f t="shared" ca="1" si="5"/>
        <v>h</v>
      </c>
      <c r="B46" s="215" t="s">
        <v>32</v>
      </c>
      <c r="C46" s="215" t="s">
        <v>149</v>
      </c>
      <c r="D46" s="188">
        <v>214</v>
      </c>
      <c r="E46" s="211">
        <v>1</v>
      </c>
      <c r="F46" s="205">
        <f ca="1">SUMIF(MLS!$C$8:$N$376,BC_TinhHinh_TaiChinh!D46,MLS!$N$8:$N$376)*E46</f>
        <v>0</v>
      </c>
      <c r="G46" s="205">
        <f ca="1">SUMIF(MLS!$C$8:$M$376,BC_TinhHinh_TaiChinh!D46,MLS!$M$8:$M$376)*E46</f>
        <v>0</v>
      </c>
      <c r="H46" s="205">
        <f>SUMIFS(MLS!$I:$I,MLS!$C:$C,BC_TinhHinh_TaiChinh!D46)*BC_TinhHinh_TaiChinh!E46</f>
        <v>0</v>
      </c>
      <c r="I46" s="213"/>
      <c r="J46" s="209"/>
      <c r="K46" s="209"/>
      <c r="L46" s="209"/>
      <c r="N46" s="294">
        <v>0</v>
      </c>
      <c r="O46" s="294">
        <v>0</v>
      </c>
    </row>
    <row r="47" spans="1:15" x14ac:dyDescent="0.3">
      <c r="A47" s="208" t="str">
        <f t="shared" ca="1" si="5"/>
        <v>h</v>
      </c>
      <c r="B47" s="215" t="s">
        <v>33</v>
      </c>
      <c r="C47" s="215" t="s">
        <v>150</v>
      </c>
      <c r="D47" s="188">
        <v>215</v>
      </c>
      <c r="E47" s="211">
        <v>1</v>
      </c>
      <c r="F47" s="205">
        <f ca="1">SUMIF(MLS!$C$8:$N$376,BC_TinhHinh_TaiChinh!D47,MLS!$N$8:$N$376)*E47</f>
        <v>0</v>
      </c>
      <c r="G47" s="205">
        <f ca="1">SUMIF(MLS!$C$8:$M$376,BC_TinhHinh_TaiChinh!D47,MLS!$M$8:$M$376)*E47</f>
        <v>0</v>
      </c>
      <c r="H47" s="205">
        <f>SUMIFS(MLS!$I:$I,MLS!$C:$C,BC_TinhHinh_TaiChinh!D47)*BC_TinhHinh_TaiChinh!E47</f>
        <v>0</v>
      </c>
      <c r="I47" s="213"/>
      <c r="J47" s="209"/>
      <c r="K47" s="209"/>
      <c r="L47" s="209"/>
      <c r="N47" s="294">
        <v>0</v>
      </c>
      <c r="O47" s="294">
        <v>0</v>
      </c>
    </row>
    <row r="48" spans="1:15" x14ac:dyDescent="0.3">
      <c r="A48" s="208" t="str">
        <f t="shared" ca="1" si="5"/>
        <v>h</v>
      </c>
      <c r="B48" s="215" t="s">
        <v>34</v>
      </c>
      <c r="C48" s="215" t="s">
        <v>151</v>
      </c>
      <c r="D48" s="188">
        <v>216</v>
      </c>
      <c r="E48" s="211">
        <v>1</v>
      </c>
      <c r="F48" s="205">
        <f ca="1">SUMIF(MLS!$C$8:$N$376,BC_TinhHinh_TaiChinh!D48,MLS!$N$8:$N$376)*E48</f>
        <v>1841300000000</v>
      </c>
      <c r="G48" s="205">
        <f ca="1">SUMIF(MLS!$C$8:$M$376,BC_TinhHinh_TaiChinh!D48,MLS!$M$8:$M$376)*E48</f>
        <v>0</v>
      </c>
      <c r="H48" s="205">
        <f>SUMIFS(MLS!$I:$I,MLS!$C:$C,BC_TinhHinh_TaiChinh!D48)*BC_TinhHinh_TaiChinh!E48</f>
        <v>0</v>
      </c>
      <c r="I48" s="213"/>
      <c r="J48" s="209"/>
      <c r="K48" s="209"/>
      <c r="L48" s="209"/>
      <c r="N48" s="294">
        <v>0</v>
      </c>
      <c r="O48" s="294">
        <v>0</v>
      </c>
    </row>
    <row r="49" spans="1:15" x14ac:dyDescent="0.3">
      <c r="A49" s="208" t="str">
        <f t="shared" ca="1" si="5"/>
        <v>h</v>
      </c>
      <c r="B49" s="215" t="s">
        <v>35</v>
      </c>
      <c r="C49" s="215" t="s">
        <v>152</v>
      </c>
      <c r="D49" s="188">
        <v>219</v>
      </c>
      <c r="E49" s="211">
        <v>1</v>
      </c>
      <c r="F49" s="205">
        <f ca="1">SUMIF(MLS!$C$8:$N$376,BC_TinhHinh_TaiChinh!D49,MLS!$N$8:$N$376)*E49</f>
        <v>0</v>
      </c>
      <c r="G49" s="205">
        <f ca="1">SUMIF(MLS!$C$8:$M$376,BC_TinhHinh_TaiChinh!D49,MLS!$M$8:$M$376)*E49</f>
        <v>0</v>
      </c>
      <c r="H49" s="205">
        <f>SUMIFS(MLS!$I:$I,MLS!$C:$C,BC_TinhHinh_TaiChinh!D49)*BC_TinhHinh_TaiChinh!E49</f>
        <v>0</v>
      </c>
      <c r="I49" s="213"/>
      <c r="J49" s="209"/>
      <c r="K49" s="209"/>
      <c r="L49" s="209"/>
      <c r="N49" s="294">
        <v>0</v>
      </c>
      <c r="O49" s="294">
        <v>0</v>
      </c>
    </row>
    <row r="50" spans="1:15" x14ac:dyDescent="0.3">
      <c r="A50" s="208"/>
      <c r="I50" s="205"/>
      <c r="J50" s="209"/>
      <c r="K50" s="209"/>
      <c r="L50" s="209"/>
      <c r="N50" s="294">
        <v>0</v>
      </c>
      <c r="O50" s="294">
        <v>0</v>
      </c>
    </row>
    <row r="51" spans="1:15" x14ac:dyDescent="0.3">
      <c r="A51" s="208" t="s">
        <v>793</v>
      </c>
      <c r="B51" s="187" t="s">
        <v>36</v>
      </c>
      <c r="C51" s="187" t="s">
        <v>153</v>
      </c>
      <c r="D51" s="210">
        <v>220</v>
      </c>
      <c r="E51" s="211">
        <v>1</v>
      </c>
      <c r="F51" s="212">
        <f ca="1">SUMIF(MLS!$C$8:$N$376,BC_TinhHinh_TaiChinh!D51,MLS!$N$8:$N$376)*E51</f>
        <v>0</v>
      </c>
      <c r="G51" s="212">
        <f ca="1">SUMIF(MLS!$C$8:$M$376,BC_TinhHinh_TaiChinh!D51,MLS!$M$8:$M$376)*E51</f>
        <v>0</v>
      </c>
      <c r="H51" s="212">
        <f>SUMIFS(MLS!$I:$I,MLS!$C:$C,BC_TinhHinh_TaiChinh!D51)*BC_TinhHinh_TaiChinh!E51</f>
        <v>0</v>
      </c>
      <c r="I51" s="213"/>
      <c r="J51" s="214">
        <f ca="1">F51-F52-F55-F58</f>
        <v>0</v>
      </c>
      <c r="K51" s="214">
        <f ca="1">G51-G52-G55-G58</f>
        <v>0</v>
      </c>
      <c r="L51" s="214">
        <f>H51-H52-H55-H58</f>
        <v>0</v>
      </c>
      <c r="N51" s="294">
        <v>0</v>
      </c>
      <c r="O51" s="294">
        <v>0</v>
      </c>
    </row>
    <row r="52" spans="1:15" x14ac:dyDescent="0.3">
      <c r="A52" s="208" t="s">
        <v>793</v>
      </c>
      <c r="B52" s="215" t="s">
        <v>37</v>
      </c>
      <c r="C52" s="215" t="s">
        <v>154</v>
      </c>
      <c r="D52" s="188">
        <v>221</v>
      </c>
      <c r="E52" s="211">
        <v>1</v>
      </c>
      <c r="F52" s="205">
        <f ca="1">SUMIF(MLS!$C$8:$N$376,BC_TinhHinh_TaiChinh!D52,MLS!$N$8:$N$376)*E52</f>
        <v>0</v>
      </c>
      <c r="G52" s="205">
        <f ca="1">SUMIF(MLS!$C$8:$M$376,BC_TinhHinh_TaiChinh!D52,MLS!$M$8:$M$376)*E52</f>
        <v>0</v>
      </c>
      <c r="H52" s="205">
        <f>SUMIFS(MLS!$I:$I,MLS!$C:$C,BC_TinhHinh_TaiChinh!D52)*BC_TinhHinh_TaiChinh!E52</f>
        <v>0</v>
      </c>
      <c r="I52" s="213"/>
      <c r="J52" s="214">
        <f ca="1">SUM(F53:F54)-F52</f>
        <v>0</v>
      </c>
      <c r="K52" s="214">
        <f ca="1">SUM(G53:G54)-G52</f>
        <v>0</v>
      </c>
      <c r="L52" s="214">
        <f>SUM(H53:H54)-H52</f>
        <v>0</v>
      </c>
      <c r="N52" s="294">
        <v>0</v>
      </c>
      <c r="O52" s="294">
        <v>0</v>
      </c>
    </row>
    <row r="53" spans="1:15" x14ac:dyDescent="0.3">
      <c r="A53" s="208" t="str">
        <f t="shared" ref="A53:A59" ca="1" si="6">IF(SUM(G53:H53)&gt;0,"s","h")</f>
        <v>s</v>
      </c>
      <c r="B53" s="221" t="s">
        <v>38</v>
      </c>
      <c r="C53" s="221" t="s">
        <v>155</v>
      </c>
      <c r="D53" s="222">
        <v>222</v>
      </c>
      <c r="E53" s="211">
        <v>1</v>
      </c>
      <c r="F53" s="223">
        <f ca="1">SUMIF(MLS!$C$8:$N$376,BC_TinhHinh_TaiChinh!D53,MLS!$N$8:$N$376)*E53</f>
        <v>205464255</v>
      </c>
      <c r="G53" s="223">
        <f ca="1">SUMIF(MLS!$C$8:$M$376,BC_TinhHinh_TaiChinh!D53,MLS!$M$8:$M$376)*E53</f>
        <v>205464255</v>
      </c>
      <c r="H53" s="223">
        <f>SUMIFS(MLS!$I:$I,MLS!$C:$C,BC_TinhHinh_TaiChinh!D53)*BC_TinhHinh_TaiChinh!E53</f>
        <v>205464255</v>
      </c>
      <c r="I53" s="213"/>
      <c r="J53" s="209"/>
      <c r="K53" s="209"/>
      <c r="L53" s="209"/>
      <c r="N53" s="294">
        <v>205464255</v>
      </c>
      <c r="O53" s="294">
        <v>205464255</v>
      </c>
    </row>
    <row r="54" spans="1:15" x14ac:dyDescent="0.3">
      <c r="A54" s="208" t="s">
        <v>793</v>
      </c>
      <c r="B54" s="221" t="s">
        <v>39</v>
      </c>
      <c r="C54" s="221" t="s">
        <v>156</v>
      </c>
      <c r="D54" s="222">
        <v>223</v>
      </c>
      <c r="E54" s="211">
        <v>1</v>
      </c>
      <c r="F54" s="223">
        <f ca="1">SUMIF(MLS!$C$8:$N$376,BC_TinhHinh_TaiChinh!D54,MLS!$N$8:$N$376)*E54</f>
        <v>-205464255</v>
      </c>
      <c r="G54" s="223">
        <f ca="1">SUMIF(MLS!$C$8:$M$376,BC_TinhHinh_TaiChinh!D54,MLS!$M$8:$M$376)*E54</f>
        <v>-205464255</v>
      </c>
      <c r="H54" s="223">
        <f>SUMIFS(MLS!$I:$I,MLS!$C:$C,BC_TinhHinh_TaiChinh!D54)*BC_TinhHinh_TaiChinh!E54</f>
        <v>-205464255</v>
      </c>
      <c r="I54" s="213"/>
      <c r="J54" s="209"/>
      <c r="K54" s="209"/>
      <c r="L54" s="209"/>
      <c r="N54" s="294">
        <v>-205464255</v>
      </c>
      <c r="O54" s="294">
        <v>-205464255</v>
      </c>
    </row>
    <row r="55" spans="1:15" x14ac:dyDescent="0.3">
      <c r="A55" s="208" t="s">
        <v>793</v>
      </c>
      <c r="B55" s="215" t="s">
        <v>40</v>
      </c>
      <c r="C55" s="215" t="s">
        <v>157</v>
      </c>
      <c r="D55" s="188">
        <v>224</v>
      </c>
      <c r="E55" s="211">
        <v>1</v>
      </c>
      <c r="F55" s="205">
        <f ca="1">SUMIF(MLS!$C$8:$N$376,BC_TinhHinh_TaiChinh!D55,MLS!$N$8:$N$376)*E55</f>
        <v>0</v>
      </c>
      <c r="G55" s="205">
        <f ca="1">SUMIF(MLS!$C$8:$M$376,BC_TinhHinh_TaiChinh!D55,MLS!$M$8:$M$376)*E55</f>
        <v>0</v>
      </c>
      <c r="H55" s="205">
        <f>SUMIFS(MLS!$I:$I,MLS!$C:$C,BC_TinhHinh_TaiChinh!D55)*BC_TinhHinh_TaiChinh!E55</f>
        <v>0</v>
      </c>
      <c r="I55" s="213"/>
      <c r="J55" s="214">
        <f ca="1">SUM(F56:F57)-F55</f>
        <v>0</v>
      </c>
      <c r="K55" s="214">
        <f ca="1">SUM(G56:G57)-G55</f>
        <v>0</v>
      </c>
      <c r="L55" s="214">
        <f>SUM(H56:H57)-H55</f>
        <v>0</v>
      </c>
      <c r="N55" s="294">
        <v>0</v>
      </c>
      <c r="O55" s="294">
        <v>0</v>
      </c>
    </row>
    <row r="56" spans="1:15" x14ac:dyDescent="0.3">
      <c r="A56" s="208" t="s">
        <v>793</v>
      </c>
      <c r="B56" s="221" t="s">
        <v>38</v>
      </c>
      <c r="C56" s="221" t="s">
        <v>155</v>
      </c>
      <c r="D56" s="222">
        <v>225</v>
      </c>
      <c r="E56" s="211">
        <v>1</v>
      </c>
      <c r="F56" s="223">
        <f ca="1">SUMIF(MLS!$C$8:$N$376,BC_TinhHinh_TaiChinh!D56,MLS!$N$8:$N$376)*E56</f>
        <v>0</v>
      </c>
      <c r="G56" s="223">
        <f ca="1">SUMIF(MLS!$C$8:$M$376,BC_TinhHinh_TaiChinh!D56,MLS!$M$8:$M$376)*E56</f>
        <v>0</v>
      </c>
      <c r="H56" s="223">
        <f>SUMIFS(MLS!$I:$I,MLS!$C:$C,BC_TinhHinh_TaiChinh!D56)*BC_TinhHinh_TaiChinh!E56</f>
        <v>0</v>
      </c>
      <c r="I56" s="213"/>
      <c r="J56" s="209"/>
      <c r="K56" s="209"/>
      <c r="L56" s="209"/>
      <c r="N56" s="294">
        <v>0</v>
      </c>
      <c r="O56" s="294">
        <v>0</v>
      </c>
    </row>
    <row r="57" spans="1:15" x14ac:dyDescent="0.3">
      <c r="A57" s="208" t="s">
        <v>793</v>
      </c>
      <c r="B57" s="221" t="s">
        <v>39</v>
      </c>
      <c r="C57" s="221" t="s">
        <v>156</v>
      </c>
      <c r="D57" s="222">
        <v>226</v>
      </c>
      <c r="E57" s="211">
        <v>1</v>
      </c>
      <c r="F57" s="223">
        <f ca="1">SUMIF(MLS!$C$8:$N$376,BC_TinhHinh_TaiChinh!D57,MLS!$N$8:$N$376)*E57</f>
        <v>0</v>
      </c>
      <c r="G57" s="223">
        <f ca="1">SUMIF(MLS!$C$8:$M$376,BC_TinhHinh_TaiChinh!D57,MLS!$M$8:$M$376)*E57</f>
        <v>0</v>
      </c>
      <c r="H57" s="223">
        <f>SUMIFS(MLS!$I:$I,MLS!$C:$C,BC_TinhHinh_TaiChinh!D57)*BC_TinhHinh_TaiChinh!E57</f>
        <v>0</v>
      </c>
      <c r="I57" s="213"/>
      <c r="J57" s="209"/>
      <c r="K57" s="209"/>
      <c r="L57" s="209"/>
      <c r="N57" s="294">
        <v>0</v>
      </c>
      <c r="O57" s="294">
        <v>0</v>
      </c>
    </row>
    <row r="58" spans="1:15" x14ac:dyDescent="0.3">
      <c r="A58" s="208" t="s">
        <v>793</v>
      </c>
      <c r="B58" s="215" t="s">
        <v>41</v>
      </c>
      <c r="C58" s="215" t="s">
        <v>158</v>
      </c>
      <c r="D58" s="188">
        <v>227</v>
      </c>
      <c r="E58" s="211">
        <v>1</v>
      </c>
      <c r="F58" s="205">
        <f ca="1">SUMIF(MLS!$C$8:$N$376,BC_TinhHinh_TaiChinh!D58,MLS!$N$8:$N$376)*E58</f>
        <v>0</v>
      </c>
      <c r="G58" s="205">
        <f ca="1">SUMIF(MLS!$C$8:$M$376,BC_TinhHinh_TaiChinh!D58,MLS!$M$8:$M$376)*E58</f>
        <v>0</v>
      </c>
      <c r="H58" s="205">
        <f>SUMIFS(MLS!$I:$I,MLS!$C:$C,BC_TinhHinh_TaiChinh!D58)*BC_TinhHinh_TaiChinh!E58</f>
        <v>0</v>
      </c>
      <c r="I58" s="213"/>
      <c r="J58" s="214">
        <f ca="1">SUM(F59:F60)-F58</f>
        <v>0</v>
      </c>
      <c r="K58" s="214">
        <f ca="1">SUM(G59:G60)-G58</f>
        <v>0</v>
      </c>
      <c r="L58" s="214">
        <f>SUM(H59:H60)-H58</f>
        <v>0</v>
      </c>
      <c r="N58" s="294">
        <v>0</v>
      </c>
      <c r="O58" s="294">
        <v>0</v>
      </c>
    </row>
    <row r="59" spans="1:15" x14ac:dyDescent="0.3">
      <c r="A59" s="208" t="str">
        <f t="shared" ca="1" si="6"/>
        <v>s</v>
      </c>
      <c r="B59" s="221" t="s">
        <v>38</v>
      </c>
      <c r="C59" s="221" t="s">
        <v>155</v>
      </c>
      <c r="D59" s="222">
        <v>228</v>
      </c>
      <c r="E59" s="211">
        <v>1</v>
      </c>
      <c r="F59" s="223">
        <f ca="1">SUMIF(MLS!$C$8:$N$376,BC_TinhHinh_TaiChinh!D59,MLS!$N$8:$N$376)*E59</f>
        <v>8358798645</v>
      </c>
      <c r="G59" s="223">
        <f ca="1">SUMIF(MLS!$C$8:$M$376,BC_TinhHinh_TaiChinh!D59,MLS!$M$8:$M$376)*E59</f>
        <v>8358798645</v>
      </c>
      <c r="H59" s="223">
        <f>SUMIFS(MLS!$I:$I,MLS!$C:$C,BC_TinhHinh_TaiChinh!D59)*BC_TinhHinh_TaiChinh!E59</f>
        <v>8358798645</v>
      </c>
      <c r="I59" s="213"/>
      <c r="J59" s="209"/>
      <c r="K59" s="209"/>
      <c r="L59" s="209"/>
      <c r="N59" s="294">
        <v>8358798645</v>
      </c>
      <c r="O59" s="294">
        <v>8358798645</v>
      </c>
    </row>
    <row r="60" spans="1:15" x14ac:dyDescent="0.3">
      <c r="A60" s="208" t="s">
        <v>793</v>
      </c>
      <c r="B60" s="221" t="s">
        <v>42</v>
      </c>
      <c r="C60" s="221" t="s">
        <v>156</v>
      </c>
      <c r="D60" s="222">
        <v>229</v>
      </c>
      <c r="E60" s="211">
        <v>1</v>
      </c>
      <c r="F60" s="223">
        <f ca="1">SUMIF(MLS!$C$8:$N$376,BC_TinhHinh_TaiChinh!D60,MLS!$N$8:$N$376)*E60</f>
        <v>-8358798645</v>
      </c>
      <c r="G60" s="223">
        <f ca="1">SUMIF(MLS!$C$8:$M$376,BC_TinhHinh_TaiChinh!D60,MLS!$M$8:$M$376)*E60</f>
        <v>-8358798645</v>
      </c>
      <c r="H60" s="223">
        <f>SUMIFS(MLS!$I:$I,MLS!$C:$C,BC_TinhHinh_TaiChinh!D60)*BC_TinhHinh_TaiChinh!E60</f>
        <v>-8358798645</v>
      </c>
      <c r="I60" s="213"/>
      <c r="J60" s="209"/>
      <c r="K60" s="209"/>
      <c r="L60" s="209"/>
      <c r="N60" s="294">
        <v>-8358798645</v>
      </c>
      <c r="O60" s="294">
        <v>-8358798645</v>
      </c>
    </row>
    <row r="61" spans="1:15" x14ac:dyDescent="0.3">
      <c r="A61" s="208"/>
      <c r="I61" s="205"/>
      <c r="J61" s="209"/>
      <c r="K61" s="209"/>
      <c r="L61" s="209"/>
      <c r="N61" s="294">
        <v>0</v>
      </c>
      <c r="O61" s="294">
        <v>0</v>
      </c>
    </row>
    <row r="62" spans="1:15" x14ac:dyDescent="0.3">
      <c r="A62" s="208" t="str">
        <f t="shared" ref="A62:A63" ca="1" si="7">IF(SUM(G62:H62)&gt;0,"s","h")</f>
        <v>s</v>
      </c>
      <c r="B62" s="187" t="s">
        <v>43</v>
      </c>
      <c r="C62" s="187" t="s">
        <v>159</v>
      </c>
      <c r="D62" s="210">
        <v>230</v>
      </c>
      <c r="E62" s="211">
        <v>1</v>
      </c>
      <c r="F62" s="212">
        <f ca="1">SUMIF(MLS!$C$8:$N$376,BC_TinhHinh_TaiChinh!D62,MLS!$N$8:$N$376)*E62</f>
        <v>4601174281316</v>
      </c>
      <c r="G62" s="212">
        <f ca="1">SUMIF(MLS!$C$8:$M$376,BC_TinhHinh_TaiChinh!D62,MLS!$M$8:$M$376)*E62</f>
        <v>4771437055653</v>
      </c>
      <c r="H62" s="212">
        <f>SUMIFS(MLS!$I:$I,MLS!$C:$C,BC_TinhHinh_TaiChinh!D62)*BC_TinhHinh_TaiChinh!E62</f>
        <v>4941140815306</v>
      </c>
      <c r="I62" s="213"/>
      <c r="J62" s="214">
        <f ca="1">SUM(F63:F64)-F62</f>
        <v>0</v>
      </c>
      <c r="K62" s="214">
        <f ca="1">SUM(G63:G64)-G62</f>
        <v>0</v>
      </c>
      <c r="L62" s="214">
        <f>SUM(H63:H64)-H62</f>
        <v>0</v>
      </c>
      <c r="N62" s="294">
        <v>4771437055653</v>
      </c>
      <c r="O62" s="294">
        <v>4941140815306</v>
      </c>
    </row>
    <row r="63" spans="1:15" x14ac:dyDescent="0.3">
      <c r="A63" s="208" t="str">
        <f t="shared" ca="1" si="7"/>
        <v>s</v>
      </c>
      <c r="B63" s="221" t="s">
        <v>38</v>
      </c>
      <c r="C63" s="221" t="s">
        <v>155</v>
      </c>
      <c r="D63" s="222">
        <v>231</v>
      </c>
      <c r="E63" s="211">
        <v>1</v>
      </c>
      <c r="F63" s="223">
        <f ca="1">SUMIF(MLS!$C$8:$N$376,BC_TinhHinh_TaiChinh!D63,MLS!$N$8:$N$376)*E63</f>
        <v>6203720688624</v>
      </c>
      <c r="G63" s="223">
        <f ca="1">SUMIF(MLS!$C$8:$M$376,BC_TinhHinh_TaiChinh!D63,MLS!$M$8:$M$376)*E63</f>
        <v>6199957200701</v>
      </c>
      <c r="H63" s="223">
        <f>SUMIFS(MLS!$I:$I,MLS!$C:$C,BC_TinhHinh_TaiChinh!D63)*BC_TinhHinh_TaiChinh!E63</f>
        <v>6195738128825</v>
      </c>
      <c r="I63" s="213"/>
      <c r="J63" s="209"/>
      <c r="K63" s="209"/>
      <c r="L63" s="209"/>
      <c r="N63" s="294">
        <v>6199957200701</v>
      </c>
      <c r="O63" s="294">
        <v>6195738128825</v>
      </c>
    </row>
    <row r="64" spans="1:15" x14ac:dyDescent="0.3">
      <c r="A64" s="208" t="s">
        <v>793</v>
      </c>
      <c r="B64" s="221" t="s">
        <v>39</v>
      </c>
      <c r="C64" s="221" t="s">
        <v>156</v>
      </c>
      <c r="D64" s="222">
        <v>232</v>
      </c>
      <c r="E64" s="211">
        <v>1</v>
      </c>
      <c r="F64" s="223">
        <f ca="1">SUMIF(MLS!$C$8:$N$376,BC_TinhHinh_TaiChinh!D64,MLS!$N$8:$N$376)*E64</f>
        <v>-1602546407308</v>
      </c>
      <c r="G64" s="223">
        <f ca="1">SUMIF(MLS!$C$8:$M$376,BC_TinhHinh_TaiChinh!D64,MLS!$M$8:$M$376)*E64</f>
        <v>-1428520145048</v>
      </c>
      <c r="H64" s="223">
        <f>SUMIFS(MLS!$I:$I,MLS!$C:$C,BC_TinhHinh_TaiChinh!D64)*BC_TinhHinh_TaiChinh!E64</f>
        <v>-1254597313519</v>
      </c>
      <c r="I64" s="213"/>
      <c r="J64" s="209"/>
      <c r="K64" s="209"/>
      <c r="L64" s="209"/>
      <c r="N64" s="294">
        <v>-1428520145048</v>
      </c>
      <c r="O64" s="294">
        <v>-1254597313519</v>
      </c>
    </row>
    <row r="65" spans="1:15" x14ac:dyDescent="0.3">
      <c r="A65" s="208"/>
      <c r="I65" s="205"/>
      <c r="J65" s="209"/>
      <c r="K65" s="209"/>
      <c r="L65" s="209"/>
      <c r="N65" s="294">
        <v>0</v>
      </c>
      <c r="O65" s="294">
        <v>0</v>
      </c>
    </row>
    <row r="66" spans="1:15" x14ac:dyDescent="0.3">
      <c r="A66" s="208" t="str">
        <f t="shared" ref="A66:A68" ca="1" si="8">IF(SUM(G66:H66)&gt;0,"s","h")</f>
        <v>h</v>
      </c>
      <c r="B66" s="187" t="s">
        <v>44</v>
      </c>
      <c r="C66" s="187" t="s">
        <v>160</v>
      </c>
      <c r="D66" s="210">
        <v>240</v>
      </c>
      <c r="E66" s="211">
        <v>1</v>
      </c>
      <c r="F66" s="212">
        <f ca="1">SUMIF(MLS!$C$8:$N$376,BC_TinhHinh_TaiChinh!D66,MLS!$N$8:$N$376)*E66</f>
        <v>120000000000</v>
      </c>
      <c r="G66" s="212">
        <f ca="1">SUMIF(MLS!$C$8:$M$376,BC_TinhHinh_TaiChinh!D66,MLS!$M$8:$M$376)*E66</f>
        <v>0</v>
      </c>
      <c r="H66" s="212">
        <f>SUMIFS(MLS!$I:$I,MLS!$C:$C,BC_TinhHinh_TaiChinh!D66)*BC_TinhHinh_TaiChinh!E66</f>
        <v>0</v>
      </c>
      <c r="I66" s="213"/>
      <c r="J66" s="214">
        <f ca="1">SUM(F67:F68)-F66</f>
        <v>0</v>
      </c>
      <c r="K66" s="214">
        <f ca="1">SUM(G67:G68)-G66</f>
        <v>0</v>
      </c>
      <c r="L66" s="214">
        <f>SUM(H67:H68)-H66</f>
        <v>0</v>
      </c>
      <c r="N66" s="294">
        <v>0</v>
      </c>
      <c r="O66" s="294">
        <v>0</v>
      </c>
    </row>
    <row r="67" spans="1:15" x14ac:dyDescent="0.3">
      <c r="A67" s="208" t="str">
        <f t="shared" ca="1" si="8"/>
        <v>h</v>
      </c>
      <c r="B67" s="215" t="s">
        <v>44</v>
      </c>
      <c r="C67" s="215" t="s">
        <v>191</v>
      </c>
      <c r="D67" s="188">
        <v>241</v>
      </c>
      <c r="E67" s="211">
        <v>1</v>
      </c>
      <c r="F67" s="205">
        <f ca="1">SUMIF(MLS!$C$8:$N$376,BC_TinhHinh_TaiChinh!D67,MLS!$N$8:$N$376)*E67</f>
        <v>0</v>
      </c>
      <c r="G67" s="205">
        <f ca="1">SUMIF(MLS!$C$8:$M$376,BC_TinhHinh_TaiChinh!D67,MLS!$M$8:$M$376)*E67</f>
        <v>0</v>
      </c>
      <c r="H67" s="205">
        <f>SUMIFS(MLS!$I:$I,MLS!$C:$C,BC_TinhHinh_TaiChinh!D67)*BC_TinhHinh_TaiChinh!E67</f>
        <v>0</v>
      </c>
      <c r="I67" s="213"/>
      <c r="J67" s="209"/>
      <c r="K67" s="209"/>
      <c r="L67" s="209"/>
      <c r="N67" s="294">
        <v>0</v>
      </c>
      <c r="O67" s="294">
        <v>0</v>
      </c>
    </row>
    <row r="68" spans="1:15" x14ac:dyDescent="0.3">
      <c r="A68" s="208" t="str">
        <f t="shared" ca="1" si="8"/>
        <v>h</v>
      </c>
      <c r="B68" s="215" t="s">
        <v>45</v>
      </c>
      <c r="C68" s="215" t="s">
        <v>162</v>
      </c>
      <c r="D68" s="188">
        <v>242</v>
      </c>
      <c r="E68" s="211">
        <v>1</v>
      </c>
      <c r="F68" s="205">
        <f ca="1">SUMIF(MLS!$C$8:$N$376,BC_TinhHinh_TaiChinh!D68,MLS!$N$8:$N$376)*E68</f>
        <v>120000000000</v>
      </c>
      <c r="G68" s="205">
        <f ca="1">SUMIF(MLS!$C$8:$M$376,BC_TinhHinh_TaiChinh!D68,MLS!$M$8:$M$376)*E68</f>
        <v>0</v>
      </c>
      <c r="H68" s="205">
        <f>SUMIFS(MLS!$I:$I,MLS!$C:$C,BC_TinhHinh_TaiChinh!D68)*BC_TinhHinh_TaiChinh!E68</f>
        <v>0</v>
      </c>
      <c r="I68" s="213"/>
      <c r="J68" s="209"/>
      <c r="K68" s="209"/>
      <c r="L68" s="209"/>
      <c r="N68" s="294">
        <v>0</v>
      </c>
      <c r="O68" s="294">
        <v>0</v>
      </c>
    </row>
    <row r="69" spans="1:15" x14ac:dyDescent="0.3">
      <c r="A69" s="208"/>
      <c r="I69" s="205"/>
      <c r="J69" s="209"/>
      <c r="K69" s="209"/>
      <c r="L69" s="209"/>
      <c r="N69" s="294">
        <v>0</v>
      </c>
      <c r="O69" s="294">
        <v>0</v>
      </c>
    </row>
    <row r="70" spans="1:15" x14ac:dyDescent="0.3">
      <c r="A70" s="208" t="str">
        <f t="shared" ref="A70:A75" ca="1" si="9">IF(SUM(G70:H70)&gt;0,"s","h")</f>
        <v>h</v>
      </c>
      <c r="B70" s="187" t="s">
        <v>46</v>
      </c>
      <c r="C70" s="187" t="s">
        <v>163</v>
      </c>
      <c r="D70" s="210">
        <v>250</v>
      </c>
      <c r="E70" s="211">
        <v>1</v>
      </c>
      <c r="F70" s="212">
        <f ca="1">SUMIF(MLS!$C$8:$N$376,BC_TinhHinh_TaiChinh!D70,MLS!$N$8:$N$376)*E70</f>
        <v>0</v>
      </c>
      <c r="G70" s="212">
        <f ca="1">SUMIF(MLS!$C$8:$M$376,BC_TinhHinh_TaiChinh!D70,MLS!$M$8:$M$376)*E70</f>
        <v>0</v>
      </c>
      <c r="H70" s="212">
        <f>SUMIFS(MLS!$I:$I,MLS!$C:$C,BC_TinhHinh_TaiChinh!D70)*BC_TinhHinh_TaiChinh!E70</f>
        <v>0</v>
      </c>
      <c r="I70" s="213"/>
      <c r="J70" s="214">
        <f ca="1">SUM(F71:F75)-F70</f>
        <v>0</v>
      </c>
      <c r="K70" s="214">
        <f ca="1">SUM(G71:G75)-G70</f>
        <v>0</v>
      </c>
      <c r="L70" s="214">
        <f>SUM(H71:H75)-H70</f>
        <v>0</v>
      </c>
      <c r="N70" s="294">
        <v>0</v>
      </c>
      <c r="O70" s="294">
        <v>0</v>
      </c>
    </row>
    <row r="71" spans="1:15" x14ac:dyDescent="0.3">
      <c r="A71" s="208" t="str">
        <f t="shared" ca="1" si="9"/>
        <v>h</v>
      </c>
      <c r="B71" s="215" t="s">
        <v>47</v>
      </c>
      <c r="C71" s="215" t="s">
        <v>164</v>
      </c>
      <c r="D71" s="188">
        <v>251</v>
      </c>
      <c r="E71" s="211">
        <v>1</v>
      </c>
      <c r="F71" s="205">
        <f ca="1">SUMIF(MLS!$C$8:$N$376,BC_TinhHinh_TaiChinh!D71,MLS!$N$8:$N$376)*E71</f>
        <v>0</v>
      </c>
      <c r="G71" s="205">
        <f ca="1">SUMIF(MLS!$C$8:$M$376,BC_TinhHinh_TaiChinh!D71,MLS!$M$8:$M$376)*E71</f>
        <v>0</v>
      </c>
      <c r="H71" s="205">
        <f>SUMIFS(MLS!$I:$I,MLS!$C:$C,BC_TinhHinh_TaiChinh!D71)*BC_TinhHinh_TaiChinh!E71</f>
        <v>0</v>
      </c>
      <c r="I71" s="213"/>
      <c r="J71" s="209"/>
      <c r="K71" s="209"/>
      <c r="L71" s="209"/>
      <c r="N71" s="294">
        <v>0</v>
      </c>
      <c r="O71" s="294">
        <v>0</v>
      </c>
    </row>
    <row r="72" spans="1:15" x14ac:dyDescent="0.3">
      <c r="A72" s="208" t="str">
        <f t="shared" ca="1" si="9"/>
        <v>h</v>
      </c>
      <c r="B72" s="215" t="s">
        <v>48</v>
      </c>
      <c r="C72" s="215" t="s">
        <v>165</v>
      </c>
      <c r="D72" s="188">
        <v>252</v>
      </c>
      <c r="E72" s="211">
        <v>1</v>
      </c>
      <c r="F72" s="205">
        <f ca="1">SUMIF(MLS!$C$8:$N$376,BC_TinhHinh_TaiChinh!D72,MLS!$N$8:$N$376)*E72</f>
        <v>0</v>
      </c>
      <c r="G72" s="205">
        <f ca="1">SUMIF(MLS!$C$8:$M$376,BC_TinhHinh_TaiChinh!D72,MLS!$M$8:$M$376)*E72</f>
        <v>0</v>
      </c>
      <c r="H72" s="205">
        <f>SUMIFS(MLS!$I:$I,MLS!$C:$C,BC_TinhHinh_TaiChinh!D72)*BC_TinhHinh_TaiChinh!E72</f>
        <v>0</v>
      </c>
      <c r="I72" s="213"/>
      <c r="J72" s="209"/>
      <c r="K72" s="209"/>
      <c r="L72" s="209"/>
      <c r="N72" s="294">
        <v>0</v>
      </c>
      <c r="O72" s="294">
        <v>0</v>
      </c>
    </row>
    <row r="73" spans="1:15" x14ac:dyDescent="0.3">
      <c r="A73" s="208" t="str">
        <f t="shared" ca="1" si="9"/>
        <v>h</v>
      </c>
      <c r="B73" s="215" t="s">
        <v>49</v>
      </c>
      <c r="C73" s="215" t="s">
        <v>166</v>
      </c>
      <c r="D73" s="188">
        <v>253</v>
      </c>
      <c r="E73" s="211">
        <v>1</v>
      </c>
      <c r="F73" s="205">
        <f ca="1">SUMIF(MLS!$C$8:$N$376,BC_TinhHinh_TaiChinh!D73,MLS!$N$8:$N$376)*E73</f>
        <v>0</v>
      </c>
      <c r="G73" s="205">
        <f ca="1">SUMIF(MLS!$C$8:$M$376,BC_TinhHinh_TaiChinh!D73,MLS!$M$8:$M$376)*E73</f>
        <v>0</v>
      </c>
      <c r="H73" s="205">
        <f>SUMIFS(MLS!$I:$I,MLS!$C:$C,BC_TinhHinh_TaiChinh!D73)*BC_TinhHinh_TaiChinh!E73</f>
        <v>0</v>
      </c>
      <c r="I73" s="213"/>
      <c r="J73" s="209"/>
      <c r="K73" s="209"/>
      <c r="L73" s="209"/>
      <c r="N73" s="294">
        <v>0</v>
      </c>
      <c r="O73" s="294">
        <v>0</v>
      </c>
    </row>
    <row r="74" spans="1:15" x14ac:dyDescent="0.3">
      <c r="A74" s="208" t="str">
        <f t="shared" ca="1" si="9"/>
        <v>h</v>
      </c>
      <c r="B74" s="215" t="s">
        <v>50</v>
      </c>
      <c r="C74" s="215" t="s">
        <v>167</v>
      </c>
      <c r="D74" s="188">
        <v>254</v>
      </c>
      <c r="E74" s="211">
        <v>1</v>
      </c>
      <c r="F74" s="205">
        <f ca="1">SUMIF(MLS!$C$8:$N$376,BC_TinhHinh_TaiChinh!D74,MLS!$N$8:$N$376)*E74</f>
        <v>0</v>
      </c>
      <c r="G74" s="205">
        <f ca="1">SUMIF(MLS!$C$8:$M$376,BC_TinhHinh_TaiChinh!D74,MLS!$M$8:$M$376)*E74</f>
        <v>0</v>
      </c>
      <c r="H74" s="205">
        <f>SUMIFS(MLS!$I:$I,MLS!$C:$C,BC_TinhHinh_TaiChinh!D74)*BC_TinhHinh_TaiChinh!E74</f>
        <v>0</v>
      </c>
      <c r="I74" s="213"/>
      <c r="J74" s="209"/>
      <c r="K74" s="209"/>
      <c r="L74" s="209"/>
      <c r="N74" s="294">
        <v>0</v>
      </c>
      <c r="O74" s="294">
        <v>0</v>
      </c>
    </row>
    <row r="75" spans="1:15" x14ac:dyDescent="0.3">
      <c r="A75" s="208" t="str">
        <f t="shared" ca="1" si="9"/>
        <v>h</v>
      </c>
      <c r="B75" s="215" t="s">
        <v>10</v>
      </c>
      <c r="C75" s="215" t="s">
        <v>126</v>
      </c>
      <c r="D75" s="188">
        <v>255</v>
      </c>
      <c r="E75" s="211">
        <v>1</v>
      </c>
      <c r="F75" s="205">
        <f ca="1">SUMIF(MLS!$C$8:$N$376,BC_TinhHinh_TaiChinh!D75,MLS!$N$8:$N$376)*E75</f>
        <v>0</v>
      </c>
      <c r="G75" s="205">
        <f ca="1">SUMIF(MLS!$C$8:$M$376,BC_TinhHinh_TaiChinh!D75,MLS!$M$8:$M$376)*E75</f>
        <v>0</v>
      </c>
      <c r="H75" s="205">
        <f>SUMIFS(MLS!$I:$I,MLS!$C:$C,BC_TinhHinh_TaiChinh!D75)*BC_TinhHinh_TaiChinh!E75</f>
        <v>0</v>
      </c>
      <c r="I75" s="213"/>
      <c r="J75" s="209"/>
      <c r="K75" s="209"/>
      <c r="L75" s="209"/>
      <c r="N75" s="294">
        <v>0</v>
      </c>
      <c r="O75" s="294">
        <v>0</v>
      </c>
    </row>
    <row r="76" spans="1:15" x14ac:dyDescent="0.3">
      <c r="A76" s="208"/>
      <c r="I76" s="205"/>
      <c r="J76" s="209"/>
      <c r="K76" s="209"/>
      <c r="L76" s="209"/>
      <c r="N76" s="294">
        <v>0</v>
      </c>
      <c r="O76" s="294">
        <v>0</v>
      </c>
    </row>
    <row r="77" spans="1:15" x14ac:dyDescent="0.3">
      <c r="A77" s="208" t="str">
        <f t="shared" ref="A77:A82" ca="1" si="10">IF(SUM(G77:H77)&gt;0,"s","h")</f>
        <v>h</v>
      </c>
      <c r="B77" s="187" t="s">
        <v>51</v>
      </c>
      <c r="C77" s="187" t="s">
        <v>168</v>
      </c>
      <c r="D77" s="210">
        <v>260</v>
      </c>
      <c r="E77" s="211">
        <v>1</v>
      </c>
      <c r="F77" s="212">
        <f ca="1">SUMIF(MLS!$C$8:$N$376,BC_TinhHinh_TaiChinh!D77,MLS!$N$8:$N$376)*E77</f>
        <v>0</v>
      </c>
      <c r="G77" s="212">
        <f ca="1">SUMIF(MLS!$C$8:$M$376,BC_TinhHinh_TaiChinh!D77,MLS!$M$8:$M$376)*E77</f>
        <v>0</v>
      </c>
      <c r="H77" s="212">
        <f>SUMIFS(MLS!$I:$I,MLS!$C:$C,BC_TinhHinh_TaiChinh!D77)*BC_TinhHinh_TaiChinh!E77</f>
        <v>0</v>
      </c>
      <c r="I77" s="213"/>
      <c r="J77" s="214">
        <f ca="1">SUM(F78:F82)-F77</f>
        <v>0</v>
      </c>
      <c r="K77" s="214">
        <f ca="1">SUM(G78:G82)-G77</f>
        <v>0</v>
      </c>
      <c r="L77" s="214">
        <f>SUM(H78:H82)-H77</f>
        <v>0</v>
      </c>
      <c r="N77" s="294">
        <v>0</v>
      </c>
      <c r="O77" s="294">
        <v>0</v>
      </c>
    </row>
    <row r="78" spans="1:15" x14ac:dyDescent="0.3">
      <c r="A78" s="208" t="str">
        <f t="shared" ca="1" si="10"/>
        <v>h</v>
      </c>
      <c r="B78" s="215" t="s">
        <v>52</v>
      </c>
      <c r="C78" s="215" t="s">
        <v>169</v>
      </c>
      <c r="D78" s="188">
        <v>261</v>
      </c>
      <c r="E78" s="211">
        <v>1</v>
      </c>
      <c r="F78" s="205">
        <f ca="1">SUMIF(MLS!$C$8:$N$376,BC_TinhHinh_TaiChinh!D78,MLS!$N$8:$N$376)*E78</f>
        <v>0</v>
      </c>
      <c r="G78" s="205">
        <f ca="1">SUMIF(MLS!$C$8:$M$376,BC_TinhHinh_TaiChinh!D78,MLS!$M$8:$M$376)*E78</f>
        <v>0</v>
      </c>
      <c r="H78" s="205">
        <f>SUMIFS(MLS!$I:$I,MLS!$C:$C,BC_TinhHinh_TaiChinh!D78)*BC_TinhHinh_TaiChinh!E78</f>
        <v>0</v>
      </c>
      <c r="I78" s="213"/>
      <c r="J78" s="209"/>
      <c r="K78" s="209"/>
      <c r="L78" s="209"/>
      <c r="N78" s="294">
        <v>0</v>
      </c>
      <c r="O78" s="294">
        <v>0</v>
      </c>
    </row>
    <row r="79" spans="1:15" x14ac:dyDescent="0.3">
      <c r="A79" s="208" t="str">
        <f t="shared" ca="1" si="10"/>
        <v>h</v>
      </c>
      <c r="B79" s="215" t="s">
        <v>53</v>
      </c>
      <c r="C79" s="215" t="s">
        <v>170</v>
      </c>
      <c r="D79" s="188">
        <v>262</v>
      </c>
      <c r="E79" s="211">
        <v>1</v>
      </c>
      <c r="F79" s="205">
        <f ca="1">SUMIF(MLS!$C$8:$N$376,BC_TinhHinh_TaiChinh!D79,MLS!$N$8:$N$376)*E79</f>
        <v>0</v>
      </c>
      <c r="G79" s="205">
        <f ca="1">SUMIF(MLS!$C$8:$M$376,BC_TinhHinh_TaiChinh!D79,MLS!$M$8:$M$376)*E79</f>
        <v>0</v>
      </c>
      <c r="H79" s="205">
        <f>SUMIFS(MLS!$I:$I,MLS!$C:$C,BC_TinhHinh_TaiChinh!D79)*BC_TinhHinh_TaiChinh!E79</f>
        <v>0</v>
      </c>
      <c r="I79" s="213"/>
      <c r="J79" s="209"/>
      <c r="K79" s="209"/>
      <c r="L79" s="209"/>
      <c r="N79" s="294">
        <v>0</v>
      </c>
      <c r="O79" s="294">
        <v>0</v>
      </c>
    </row>
    <row r="80" spans="1:15" x14ac:dyDescent="0.3">
      <c r="A80" s="208" t="str">
        <f t="shared" ca="1" si="10"/>
        <v>h</v>
      </c>
      <c r="B80" s="215" t="s">
        <v>54</v>
      </c>
      <c r="C80" s="215" t="s">
        <v>171</v>
      </c>
      <c r="D80" s="188">
        <v>263</v>
      </c>
      <c r="E80" s="211">
        <v>1</v>
      </c>
      <c r="F80" s="205">
        <f ca="1">SUMIF(MLS!$C$8:$N$376,BC_TinhHinh_TaiChinh!D80,MLS!$N$8:$N$376)*E80</f>
        <v>0</v>
      </c>
      <c r="G80" s="205">
        <f ca="1">SUMIF(MLS!$C$8:$M$376,BC_TinhHinh_TaiChinh!D80,MLS!$M$8:$M$376)*E80</f>
        <v>0</v>
      </c>
      <c r="H80" s="205">
        <f>SUMIFS(MLS!$I:$I,MLS!$C:$C,BC_TinhHinh_TaiChinh!D80)*BC_TinhHinh_TaiChinh!E80</f>
        <v>0</v>
      </c>
      <c r="I80" s="213"/>
      <c r="J80" s="209"/>
      <c r="K80" s="209"/>
      <c r="L80" s="209"/>
      <c r="N80" s="294">
        <v>0</v>
      </c>
      <c r="O80" s="294">
        <v>0</v>
      </c>
    </row>
    <row r="81" spans="1:15" x14ac:dyDescent="0.3">
      <c r="A81" s="208" t="str">
        <f t="shared" ca="1" si="10"/>
        <v>h</v>
      </c>
      <c r="B81" s="215" t="s">
        <v>51</v>
      </c>
      <c r="C81" s="215" t="s">
        <v>168</v>
      </c>
      <c r="D81" s="188">
        <v>268</v>
      </c>
      <c r="E81" s="211">
        <v>1</v>
      </c>
      <c r="F81" s="205">
        <f ca="1">SUMIF(MLS!$C$8:$N$376,BC_TinhHinh_TaiChinh!D81,MLS!$N$8:$N$376)*E81</f>
        <v>0</v>
      </c>
      <c r="G81" s="205">
        <f ca="1">SUMIF(MLS!$C$8:$M$376,BC_TinhHinh_TaiChinh!D81,MLS!$M$8:$M$376)*E81</f>
        <v>0</v>
      </c>
      <c r="H81" s="205">
        <f>SUMIFS(MLS!$I:$I,MLS!$C:$C,BC_TinhHinh_TaiChinh!D81)*BC_TinhHinh_TaiChinh!E81</f>
        <v>0</v>
      </c>
      <c r="I81" s="213"/>
      <c r="J81" s="209"/>
      <c r="K81" s="209"/>
      <c r="L81" s="209"/>
      <c r="N81" s="294">
        <v>0</v>
      </c>
      <c r="O81" s="294">
        <v>0</v>
      </c>
    </row>
    <row r="82" spans="1:15" x14ac:dyDescent="0.3">
      <c r="A82" s="208" t="str">
        <f t="shared" ca="1" si="10"/>
        <v>h</v>
      </c>
      <c r="B82" s="215" t="s">
        <v>55</v>
      </c>
      <c r="C82" s="215" t="s">
        <v>172</v>
      </c>
      <c r="D82" s="188">
        <v>269</v>
      </c>
      <c r="E82" s="211">
        <v>1</v>
      </c>
      <c r="F82" s="205">
        <f ca="1">SUMIF(MLS!$C$8:$N$376,BC_TinhHinh_TaiChinh!D82,MLS!$N$8:$N$376)*E82</f>
        <v>0</v>
      </c>
      <c r="G82" s="205">
        <f ca="1">SUMIF(MLS!$C$8:$M$376,BC_TinhHinh_TaiChinh!D82,MLS!$M$8:$M$376)*E82</f>
        <v>0</v>
      </c>
      <c r="H82" s="205">
        <f>SUMIFS(MLS!$I:$I,MLS!$C:$C,BC_TinhHinh_TaiChinh!D82)*BC_TinhHinh_TaiChinh!E82</f>
        <v>0</v>
      </c>
      <c r="I82" s="213"/>
      <c r="J82" s="209"/>
      <c r="K82" s="209"/>
      <c r="L82" s="209"/>
      <c r="N82" s="294">
        <v>0</v>
      </c>
      <c r="O82" s="294">
        <v>0</v>
      </c>
    </row>
    <row r="83" spans="1:15" x14ac:dyDescent="0.3">
      <c r="A83" s="208"/>
      <c r="I83" s="205"/>
      <c r="J83" s="209"/>
      <c r="K83" s="209"/>
      <c r="L83" s="209"/>
      <c r="N83" s="294">
        <v>0</v>
      </c>
      <c r="O83" s="294">
        <v>0</v>
      </c>
    </row>
    <row r="84" spans="1:15" ht="22.5" customHeight="1" thickBot="1" x14ac:dyDescent="0.35">
      <c r="A84" s="208" t="str">
        <f ca="1">IF(SUM(G84:H84)&gt;0,"s","h")</f>
        <v>s</v>
      </c>
      <c r="B84" s="187" t="s">
        <v>56</v>
      </c>
      <c r="C84" s="187" t="s">
        <v>174</v>
      </c>
      <c r="D84" s="210">
        <v>270</v>
      </c>
      <c r="E84" s="211">
        <v>1</v>
      </c>
      <c r="F84" s="224">
        <f ca="1">SUMIF(MLS!$C$8:$N$376,BC_TinhHinh_TaiChinh!D84,MLS!$N$8:$N$376)*E84</f>
        <v>6623041759566</v>
      </c>
      <c r="G84" s="224">
        <f ca="1">SUMIF(MLS!$C$8:$M$376,BC_TinhHinh_TaiChinh!D84,MLS!$M$8:$M$376)*E84</f>
        <v>4781188285204</v>
      </c>
      <c r="H84" s="224">
        <f>SUMIFS(MLS!$I:$I,MLS!$C:$C,BC_TinhHinh_TaiChinh!D84)*BC_TinhHinh_TaiChinh!E84</f>
        <v>4943027581368</v>
      </c>
      <c r="I84" s="213"/>
      <c r="J84" s="214">
        <f ca="1">F84-F40-F8</f>
        <v>0</v>
      </c>
      <c r="K84" s="214">
        <f ca="1">G84-G40-G8</f>
        <v>0</v>
      </c>
      <c r="L84" s="214">
        <f>H84-H40-H8</f>
        <v>0</v>
      </c>
      <c r="N84" s="294">
        <v>4781188285204</v>
      </c>
      <c r="O84" s="294">
        <v>4943027581368</v>
      </c>
    </row>
    <row r="85" spans="1:15" ht="17.25" thickTop="1" x14ac:dyDescent="0.3">
      <c r="A85" s="208"/>
      <c r="I85" s="205"/>
      <c r="J85" s="209"/>
      <c r="K85" s="209"/>
      <c r="L85" s="209"/>
      <c r="N85" s="294">
        <v>0</v>
      </c>
      <c r="O85" s="294">
        <v>0</v>
      </c>
    </row>
    <row r="86" spans="1:15" x14ac:dyDescent="0.3">
      <c r="A86" s="208"/>
      <c r="I86" s="205"/>
      <c r="J86" s="209"/>
      <c r="K86" s="209"/>
      <c r="L86" s="209"/>
      <c r="N86" s="294">
        <v>0</v>
      </c>
      <c r="O86" s="294">
        <v>0</v>
      </c>
    </row>
    <row r="87" spans="1:15" x14ac:dyDescent="0.3">
      <c r="A87" s="208"/>
      <c r="B87" s="187" t="s">
        <v>57</v>
      </c>
      <c r="C87" s="187" t="s">
        <v>175</v>
      </c>
      <c r="I87" s="205"/>
      <c r="J87" s="209"/>
      <c r="K87" s="209"/>
      <c r="L87" s="209"/>
      <c r="N87" s="294">
        <v>0</v>
      </c>
      <c r="O87" s="294">
        <v>0</v>
      </c>
    </row>
    <row r="88" spans="1:15" x14ac:dyDescent="0.3">
      <c r="A88" s="208"/>
      <c r="I88" s="205"/>
      <c r="J88" s="209"/>
      <c r="K88" s="209"/>
      <c r="L88" s="209"/>
      <c r="N88" s="294">
        <v>0</v>
      </c>
      <c r="O88" s="294">
        <v>0</v>
      </c>
    </row>
    <row r="89" spans="1:15" x14ac:dyDescent="0.3">
      <c r="A89" s="208" t="str">
        <f ca="1">IF(SUM(G89:H89)&gt;0,"s","h")</f>
        <v>s</v>
      </c>
      <c r="B89" s="187" t="s">
        <v>58</v>
      </c>
      <c r="C89" s="187" t="s">
        <v>176</v>
      </c>
      <c r="D89" s="210">
        <v>300</v>
      </c>
      <c r="E89" s="211">
        <v>-1</v>
      </c>
      <c r="F89" s="212">
        <f ca="1">SUMIF(MLS!$C$8:$N$376,BC_TinhHinh_TaiChinh!D89,MLS!$N$8:$N$376)*E89</f>
        <v>4243456700253</v>
      </c>
      <c r="G89" s="212">
        <f ca="1">SUMIF(MLS!$C$8:$M$376,BC_TinhHinh_TaiChinh!D89,MLS!$M$8:$M$376)*E89</f>
        <v>2474835736009</v>
      </c>
      <c r="H89" s="212">
        <f>SUMIFS(MLS!$I:$I,MLS!$C:$C,BC_TinhHinh_TaiChinh!D89)*BC_TinhHinh_TaiChinh!E89</f>
        <v>2721919848957</v>
      </c>
      <c r="I89" s="213"/>
      <c r="J89" s="214">
        <f ca="1">F89-F91-F107</f>
        <v>0</v>
      </c>
      <c r="K89" s="214">
        <f ca="1">G89-G91-G107</f>
        <v>0</v>
      </c>
      <c r="L89" s="214">
        <f>H89-H91-H107</f>
        <v>0</v>
      </c>
      <c r="N89" s="294">
        <v>2474835736009</v>
      </c>
      <c r="O89" s="294">
        <v>2721919848957</v>
      </c>
    </row>
    <row r="90" spans="1:15" x14ac:dyDescent="0.3">
      <c r="A90" s="208"/>
      <c r="I90" s="205"/>
      <c r="J90" s="209"/>
      <c r="K90" s="209"/>
      <c r="L90" s="209"/>
      <c r="N90" s="294">
        <v>0</v>
      </c>
      <c r="O90" s="294">
        <v>0</v>
      </c>
    </row>
    <row r="91" spans="1:15" x14ac:dyDescent="0.3">
      <c r="A91" s="208" t="str">
        <f t="shared" ref="A91:A105" ca="1" si="11">IF(SUM(G91:H91)&gt;0,"s","h")</f>
        <v>s</v>
      </c>
      <c r="B91" s="187" t="s">
        <v>59</v>
      </c>
      <c r="C91" s="187" t="s">
        <v>177</v>
      </c>
      <c r="D91" s="210">
        <v>310</v>
      </c>
      <c r="E91" s="211">
        <v>-1</v>
      </c>
      <c r="F91" s="212">
        <f ca="1">SUMIF(MLS!$C$8:$N$376,BC_TinhHinh_TaiChinh!D91,MLS!$N$8:$N$376)*E91</f>
        <v>106614531882</v>
      </c>
      <c r="G91" s="212">
        <f ca="1">SUMIF(MLS!$C$8:$M$376,BC_TinhHinh_TaiChinh!D91,MLS!$M$8:$M$376)*E91</f>
        <v>10974627126</v>
      </c>
      <c r="H91" s="212">
        <f>SUMIFS(MLS!$I:$I,MLS!$C:$C,BC_TinhHinh_TaiChinh!D91)*BC_TinhHinh_TaiChinh!E91</f>
        <v>38989667263</v>
      </c>
      <c r="I91" s="213"/>
      <c r="J91" s="214">
        <f ca="1">SUM(F92:F105)-F91</f>
        <v>0</v>
      </c>
      <c r="K91" s="214">
        <f ca="1">SUM(G92:G105)-G91</f>
        <v>0</v>
      </c>
      <c r="L91" s="214">
        <f>SUM(H92:H105)-H91</f>
        <v>0</v>
      </c>
      <c r="N91" s="294">
        <v>10974627126</v>
      </c>
      <c r="O91" s="294">
        <v>38989667263</v>
      </c>
    </row>
    <row r="92" spans="1:15" x14ac:dyDescent="0.3">
      <c r="A92" s="208" t="str">
        <f t="shared" ca="1" si="11"/>
        <v>s</v>
      </c>
      <c r="B92" s="215" t="s">
        <v>60</v>
      </c>
      <c r="C92" s="215" t="s">
        <v>178</v>
      </c>
      <c r="D92" s="188">
        <v>311</v>
      </c>
      <c r="E92" s="211">
        <v>-1</v>
      </c>
      <c r="F92" s="205">
        <f ca="1">SUMIF(MLS!$C$8:$N$376,BC_TinhHinh_TaiChinh!D92,MLS!$N$8:$N$376)*E92</f>
        <v>62000000000</v>
      </c>
      <c r="G92" s="205">
        <f ca="1">SUMIF(MLS!$C$8:$M$376,BC_TinhHinh_TaiChinh!D92,MLS!$M$8:$M$376)*E92</f>
        <v>0</v>
      </c>
      <c r="H92" s="205">
        <f>SUMIFS(MLS!$I:$I,MLS!$C:$C,BC_TinhHinh_TaiChinh!D92)*BC_TinhHinh_TaiChinh!E92</f>
        <v>42900000</v>
      </c>
      <c r="I92" s="213"/>
      <c r="J92" s="209"/>
      <c r="K92" s="209"/>
      <c r="L92" s="209"/>
      <c r="N92" s="294">
        <v>0</v>
      </c>
      <c r="O92" s="294">
        <v>42900000</v>
      </c>
    </row>
    <row r="93" spans="1:15" x14ac:dyDescent="0.3">
      <c r="A93" s="208" t="str">
        <f t="shared" ca="1" si="11"/>
        <v>h</v>
      </c>
      <c r="B93" s="215" t="s">
        <v>61</v>
      </c>
      <c r="C93" s="215" t="s">
        <v>179</v>
      </c>
      <c r="D93" s="188">
        <v>312</v>
      </c>
      <c r="E93" s="211">
        <v>-1</v>
      </c>
      <c r="F93" s="218">
        <f ca="1">SUMIF(MLS!$C$8:$N$376,BC_TinhHinh_TaiChinh!D93,MLS!$N$8:$N$376)*E93</f>
        <v>99999999</v>
      </c>
      <c r="G93" s="218">
        <f ca="1">SUMIF(MLS!$C$8:$M$376,BC_TinhHinh_TaiChinh!D93,MLS!$M$8:$M$376)*E93</f>
        <v>0</v>
      </c>
      <c r="H93" s="218">
        <f>SUMIFS(MLS!$I:$I,MLS!$C:$C,BC_TinhHinh_TaiChinh!D93)*BC_TinhHinh_TaiChinh!E93</f>
        <v>0</v>
      </c>
      <c r="I93" s="213"/>
      <c r="J93" s="209"/>
      <c r="K93" s="209"/>
      <c r="L93" s="209"/>
      <c r="N93" s="294">
        <v>0</v>
      </c>
      <c r="O93" s="294">
        <v>0</v>
      </c>
    </row>
    <row r="94" spans="1:15" x14ac:dyDescent="0.3">
      <c r="A94" s="208" t="str">
        <f t="shared" ca="1" si="11"/>
        <v>s</v>
      </c>
      <c r="B94" s="215" t="s">
        <v>62</v>
      </c>
      <c r="C94" s="215" t="s">
        <v>180</v>
      </c>
      <c r="D94" s="188">
        <v>313</v>
      </c>
      <c r="E94" s="211">
        <v>-1</v>
      </c>
      <c r="F94" s="218">
        <f ca="1">SUMIF(MLS!$C$8:$N$376,BC_TinhHinh_TaiChinh!D94,MLS!$N$8:$N$376)*E94</f>
        <v>1514531883</v>
      </c>
      <c r="G94" s="218">
        <f ca="1">SUMIF(MLS!$C$8:$M$376,BC_TinhHinh_TaiChinh!D94,MLS!$M$8:$M$376)*E94</f>
        <v>9290859479</v>
      </c>
      <c r="H94" s="218">
        <f>SUMIFS(MLS!$I:$I,MLS!$C:$C,BC_TinhHinh_TaiChinh!D94)*BC_TinhHinh_TaiChinh!E94</f>
        <v>0</v>
      </c>
      <c r="I94" s="213"/>
      <c r="J94" s="209"/>
      <c r="K94" s="209"/>
      <c r="L94" s="209"/>
      <c r="N94" s="294">
        <v>9290859479</v>
      </c>
      <c r="O94" s="294">
        <v>0</v>
      </c>
    </row>
    <row r="95" spans="1:15" x14ac:dyDescent="0.3">
      <c r="A95" s="208" t="str">
        <f t="shared" ca="1" si="11"/>
        <v>h</v>
      </c>
      <c r="B95" s="215" t="s">
        <v>63</v>
      </c>
      <c r="C95" s="215" t="s">
        <v>181</v>
      </c>
      <c r="D95" s="188">
        <v>314</v>
      </c>
      <c r="E95" s="211">
        <v>-1</v>
      </c>
      <c r="F95" s="218">
        <f ca="1">SUMIF(MLS!$C$8:$N$376,BC_TinhHinh_TaiChinh!D95,MLS!$N$8:$N$376)*E95</f>
        <v>0</v>
      </c>
      <c r="G95" s="218">
        <f ca="1">SUMIF(MLS!$C$8:$M$376,BC_TinhHinh_TaiChinh!D95,MLS!$M$8:$M$376)*E95</f>
        <v>0</v>
      </c>
      <c r="H95" s="218">
        <f>SUMIFS(MLS!$I:$I,MLS!$C:$C,BC_TinhHinh_TaiChinh!D95)*BC_TinhHinh_TaiChinh!E95</f>
        <v>0</v>
      </c>
      <c r="I95" s="213"/>
      <c r="J95" s="209"/>
      <c r="K95" s="209"/>
      <c r="L95" s="209"/>
      <c r="N95" s="294">
        <v>0</v>
      </c>
      <c r="O95" s="294">
        <v>0</v>
      </c>
    </row>
    <row r="96" spans="1:15" x14ac:dyDescent="0.3">
      <c r="A96" s="208" t="str">
        <f t="shared" ca="1" si="11"/>
        <v>s</v>
      </c>
      <c r="B96" s="215" t="s">
        <v>64</v>
      </c>
      <c r="C96" s="215" t="s">
        <v>182</v>
      </c>
      <c r="D96" s="188">
        <v>315</v>
      </c>
      <c r="E96" s="211">
        <v>-1</v>
      </c>
      <c r="F96" s="218">
        <f ca="1">SUMIF(MLS!$C$8:$N$376,BC_TinhHinh_TaiChinh!D96,MLS!$N$8:$N$376)*E96</f>
        <v>8000000000</v>
      </c>
      <c r="G96" s="218">
        <f ca="1">SUMIF(MLS!$C$8:$M$376,BC_TinhHinh_TaiChinh!D96,MLS!$M$8:$M$376)*E96</f>
        <v>1683767647</v>
      </c>
      <c r="H96" s="218">
        <f>SUMIFS(MLS!$I:$I,MLS!$C:$C,BC_TinhHinh_TaiChinh!D96)*BC_TinhHinh_TaiChinh!E96</f>
        <v>1314471822</v>
      </c>
      <c r="I96" s="213"/>
      <c r="J96" s="209"/>
      <c r="K96" s="209"/>
      <c r="L96" s="209"/>
      <c r="N96" s="294">
        <v>1683767647</v>
      </c>
      <c r="O96" s="294">
        <v>1314471822</v>
      </c>
    </row>
    <row r="97" spans="1:15" x14ac:dyDescent="0.3">
      <c r="A97" s="208" t="str">
        <f t="shared" ca="1" si="11"/>
        <v>h</v>
      </c>
      <c r="B97" s="215" t="s">
        <v>65</v>
      </c>
      <c r="C97" s="215" t="s">
        <v>183</v>
      </c>
      <c r="D97" s="188">
        <v>316</v>
      </c>
      <c r="E97" s="211">
        <v>-1</v>
      </c>
      <c r="F97" s="205">
        <f ca="1">SUMIF(MLS!$C$8:$N$376,BC_TinhHinh_TaiChinh!D97,MLS!$N$8:$N$376)*E97</f>
        <v>0</v>
      </c>
      <c r="G97" s="205">
        <f ca="1">SUMIF(MLS!$C$8:$M$376,BC_TinhHinh_TaiChinh!D97,MLS!$M$8:$M$376)*E97</f>
        <v>0</v>
      </c>
      <c r="H97" s="205">
        <f>SUMIFS(MLS!$I:$I,MLS!$C:$C,BC_TinhHinh_TaiChinh!D97)*BC_TinhHinh_TaiChinh!E97</f>
        <v>0</v>
      </c>
      <c r="I97" s="213"/>
      <c r="J97" s="209"/>
      <c r="K97" s="209"/>
      <c r="L97" s="209"/>
      <c r="N97" s="294">
        <v>0</v>
      </c>
      <c r="O97" s="294">
        <v>0</v>
      </c>
    </row>
    <row r="98" spans="1:15" x14ac:dyDescent="0.3">
      <c r="A98" s="208" t="str">
        <f t="shared" ca="1" si="11"/>
        <v>h</v>
      </c>
      <c r="B98" s="215" t="s">
        <v>66</v>
      </c>
      <c r="C98" s="215" t="s">
        <v>184</v>
      </c>
      <c r="D98" s="188">
        <v>317</v>
      </c>
      <c r="E98" s="211">
        <v>-1</v>
      </c>
      <c r="F98" s="205">
        <f ca="1">SUMIF(MLS!$C$8:$N$376,BC_TinhHinh_TaiChinh!D98,MLS!$N$8:$N$376)*E98</f>
        <v>0</v>
      </c>
      <c r="G98" s="205">
        <f ca="1">SUMIF(MLS!$C$8:$M$376,BC_TinhHinh_TaiChinh!D98,MLS!$M$8:$M$376)*E98</f>
        <v>0</v>
      </c>
      <c r="H98" s="205">
        <f>SUMIFS(MLS!$I:$I,MLS!$C:$C,BC_TinhHinh_TaiChinh!D98)*BC_TinhHinh_TaiChinh!E98</f>
        <v>0</v>
      </c>
      <c r="I98" s="213"/>
      <c r="J98" s="209"/>
      <c r="K98" s="209"/>
      <c r="L98" s="209"/>
      <c r="N98" s="294">
        <v>0</v>
      </c>
      <c r="O98" s="294">
        <v>0</v>
      </c>
    </row>
    <row r="99" spans="1:15" x14ac:dyDescent="0.3">
      <c r="A99" s="208" t="str">
        <f t="shared" ca="1" si="11"/>
        <v>s</v>
      </c>
      <c r="B99" s="215" t="s">
        <v>67</v>
      </c>
      <c r="C99" s="215" t="s">
        <v>185</v>
      </c>
      <c r="D99" s="188">
        <v>318</v>
      </c>
      <c r="E99" s="211">
        <v>-1</v>
      </c>
      <c r="F99" s="205">
        <f ca="1">SUMIF(MLS!$C$8:$N$376,BC_TinhHinh_TaiChinh!D99,MLS!$N$8:$N$376)*E99</f>
        <v>0</v>
      </c>
      <c r="G99" s="205">
        <f ca="1">SUMIF(MLS!$C$8:$M$376,BC_TinhHinh_TaiChinh!D99,MLS!$M$8:$M$376)*E99</f>
        <v>0</v>
      </c>
      <c r="H99" s="205">
        <f>SUMIFS(MLS!$I:$I,MLS!$C:$C,BC_TinhHinh_TaiChinh!D99)*BC_TinhHinh_TaiChinh!E99</f>
        <v>37632295441</v>
      </c>
      <c r="I99" s="213"/>
      <c r="J99" s="209"/>
      <c r="K99" s="209"/>
      <c r="L99" s="209"/>
      <c r="N99" s="294">
        <v>0</v>
      </c>
      <c r="O99" s="294">
        <v>37632295441</v>
      </c>
    </row>
    <row r="100" spans="1:15" x14ac:dyDescent="0.3">
      <c r="A100" s="208" t="str">
        <f t="shared" ca="1" si="11"/>
        <v>h</v>
      </c>
      <c r="B100" s="215" t="s">
        <v>68</v>
      </c>
      <c r="C100" s="215" t="s">
        <v>186</v>
      </c>
      <c r="D100" s="188">
        <v>319</v>
      </c>
      <c r="E100" s="211">
        <v>-1</v>
      </c>
      <c r="F100" s="218">
        <f ca="1">SUMIF(MLS!$C$8:$N$376,BC_TinhHinh_TaiChinh!D100,MLS!$N$8:$N$376)*E100</f>
        <v>0</v>
      </c>
      <c r="G100" s="218">
        <f ca="1">SUMIF(MLS!$C$8:$M$376,BC_TinhHinh_TaiChinh!D100,MLS!$M$8:$M$376)*E100</f>
        <v>0</v>
      </c>
      <c r="H100" s="218">
        <f>SUMIFS(MLS!$I:$I,MLS!$C:$C,BC_TinhHinh_TaiChinh!D100)*BC_TinhHinh_TaiChinh!E100</f>
        <v>0</v>
      </c>
      <c r="I100" s="213"/>
      <c r="J100" s="209"/>
      <c r="K100" s="209"/>
      <c r="L100" s="209"/>
      <c r="N100" s="294">
        <v>0</v>
      </c>
      <c r="O100" s="294">
        <v>0</v>
      </c>
    </row>
    <row r="101" spans="1:15" x14ac:dyDescent="0.3">
      <c r="A101" s="208" t="str">
        <f t="shared" ca="1" si="11"/>
        <v>h</v>
      </c>
      <c r="B101" s="215" t="s">
        <v>69</v>
      </c>
      <c r="C101" s="215" t="s">
        <v>187</v>
      </c>
      <c r="D101" s="188">
        <v>320</v>
      </c>
      <c r="E101" s="211">
        <v>-1</v>
      </c>
      <c r="F101" s="218">
        <f ca="1">SUMIF(MLS!$C$8:$N$376,BC_TinhHinh_TaiChinh!D101,MLS!$N$8:$N$376)*E101</f>
        <v>35000000000</v>
      </c>
      <c r="G101" s="218">
        <f ca="1">SUMIF(MLS!$C$8:$M$376,BC_TinhHinh_TaiChinh!D101,MLS!$M$8:$M$376)*E101</f>
        <v>0</v>
      </c>
      <c r="H101" s="218">
        <f>SUMIFS(MLS!$I:$I,MLS!$C:$C,BC_TinhHinh_TaiChinh!D101)*BC_TinhHinh_TaiChinh!E101</f>
        <v>0</v>
      </c>
      <c r="I101" s="213"/>
      <c r="J101" s="209"/>
      <c r="K101" s="209"/>
      <c r="L101" s="209"/>
      <c r="N101" s="294">
        <v>0</v>
      </c>
      <c r="O101" s="294">
        <v>0</v>
      </c>
    </row>
    <row r="102" spans="1:15" x14ac:dyDescent="0.3">
      <c r="A102" s="208" t="str">
        <f t="shared" ca="1" si="11"/>
        <v>h</v>
      </c>
      <c r="B102" s="215" t="s">
        <v>70</v>
      </c>
      <c r="C102" s="215" t="s">
        <v>188</v>
      </c>
      <c r="D102" s="188">
        <v>321</v>
      </c>
      <c r="E102" s="211">
        <v>-1</v>
      </c>
      <c r="F102" s="205">
        <f ca="1">SUMIF(MLS!$C$8:$N$376,BC_TinhHinh_TaiChinh!D102,MLS!$N$8:$N$376)*E102</f>
        <v>0</v>
      </c>
      <c r="G102" s="205">
        <f ca="1">SUMIF(MLS!$C$8:$M$376,BC_TinhHinh_TaiChinh!D102,MLS!$M$8:$M$376)*E102</f>
        <v>0</v>
      </c>
      <c r="H102" s="205">
        <f>SUMIFS(MLS!$I:$I,MLS!$C:$C,BC_TinhHinh_TaiChinh!D102)*BC_TinhHinh_TaiChinh!E102</f>
        <v>0</v>
      </c>
      <c r="I102" s="213"/>
      <c r="J102" s="209"/>
      <c r="K102" s="209"/>
      <c r="L102" s="209"/>
      <c r="N102" s="294">
        <v>0</v>
      </c>
      <c r="O102" s="294">
        <v>0</v>
      </c>
    </row>
    <row r="103" spans="1:15" x14ac:dyDescent="0.3">
      <c r="A103" s="208" t="str">
        <f t="shared" ca="1" si="11"/>
        <v>h</v>
      </c>
      <c r="B103" s="215" t="s">
        <v>71</v>
      </c>
      <c r="C103" s="215" t="s">
        <v>189</v>
      </c>
      <c r="D103" s="188">
        <v>322</v>
      </c>
      <c r="E103" s="211">
        <v>-1</v>
      </c>
      <c r="F103" s="205">
        <f ca="1">SUMIF(MLS!$C$8:$N$376,BC_TinhHinh_TaiChinh!D103,MLS!$N$8:$N$376)*E103</f>
        <v>0</v>
      </c>
      <c r="G103" s="205">
        <f ca="1">SUMIF(MLS!$C$8:$M$376,BC_TinhHinh_TaiChinh!D103,MLS!$M$8:$M$376)*E103</f>
        <v>0</v>
      </c>
      <c r="H103" s="205">
        <f>SUMIFS(MLS!$I:$I,MLS!$C:$C,BC_TinhHinh_TaiChinh!D103)*BC_TinhHinh_TaiChinh!E103</f>
        <v>0</v>
      </c>
      <c r="I103" s="213"/>
      <c r="J103" s="209"/>
      <c r="K103" s="209"/>
      <c r="L103" s="209"/>
      <c r="N103" s="294">
        <v>0</v>
      </c>
      <c r="O103" s="294">
        <v>0</v>
      </c>
    </row>
    <row r="104" spans="1:15" x14ac:dyDescent="0.3">
      <c r="A104" s="208" t="str">
        <f t="shared" ca="1" si="11"/>
        <v>h</v>
      </c>
      <c r="B104" s="215" t="s">
        <v>72</v>
      </c>
      <c r="C104" s="215" t="s">
        <v>190</v>
      </c>
      <c r="D104" s="188">
        <v>323</v>
      </c>
      <c r="E104" s="211">
        <v>-1</v>
      </c>
      <c r="F104" s="205">
        <f ca="1">SUMIF(MLS!$C$8:$N$376,BC_TinhHinh_TaiChinh!D104,MLS!$N$8:$N$376)*E104</f>
        <v>0</v>
      </c>
      <c r="G104" s="205">
        <f ca="1">SUMIF(MLS!$C$8:$M$376,BC_TinhHinh_TaiChinh!D104,MLS!$M$8:$M$376)*E104</f>
        <v>0</v>
      </c>
      <c r="H104" s="205">
        <f>SUMIFS(MLS!$I:$I,MLS!$C:$C,BC_TinhHinh_TaiChinh!D104)*BC_TinhHinh_TaiChinh!E104</f>
        <v>0</v>
      </c>
      <c r="I104" s="213"/>
      <c r="J104" s="209"/>
      <c r="K104" s="209"/>
      <c r="L104" s="209"/>
      <c r="N104" s="294">
        <v>0</v>
      </c>
      <c r="O104" s="294">
        <v>0</v>
      </c>
    </row>
    <row r="105" spans="1:15" x14ac:dyDescent="0.3">
      <c r="A105" s="208" t="str">
        <f t="shared" ca="1" si="11"/>
        <v>h</v>
      </c>
      <c r="B105" s="215" t="s">
        <v>73</v>
      </c>
      <c r="C105" s="215" t="s">
        <v>142</v>
      </c>
      <c r="D105" s="188">
        <v>324</v>
      </c>
      <c r="E105" s="211">
        <v>-1</v>
      </c>
      <c r="F105" s="205">
        <f ca="1">SUMIF(MLS!$C$8:$N$376,BC_TinhHinh_TaiChinh!D105,MLS!$N$8:$N$376)*E105</f>
        <v>0</v>
      </c>
      <c r="G105" s="205">
        <f ca="1">SUMIF(MLS!$C$8:$M$376,BC_TinhHinh_TaiChinh!D105,MLS!$M$8:$M$376)*E105</f>
        <v>0</v>
      </c>
      <c r="H105" s="205">
        <f>SUMIFS(MLS!$I:$I,MLS!$C:$C,BC_TinhHinh_TaiChinh!D105)*BC_TinhHinh_TaiChinh!E105</f>
        <v>0</v>
      </c>
      <c r="I105" s="213"/>
      <c r="J105" s="209"/>
      <c r="K105" s="209"/>
      <c r="L105" s="209"/>
      <c r="N105" s="294">
        <v>0</v>
      </c>
      <c r="O105" s="294">
        <v>0</v>
      </c>
    </row>
    <row r="106" spans="1:15" x14ac:dyDescent="0.3">
      <c r="A106" s="208"/>
      <c r="F106" s="218"/>
      <c r="G106" s="218"/>
      <c r="H106" s="218"/>
      <c r="I106" s="218"/>
      <c r="J106" s="209"/>
      <c r="K106" s="209"/>
      <c r="L106" s="209"/>
      <c r="N106" s="294">
        <v>0</v>
      </c>
      <c r="O106" s="294">
        <v>0</v>
      </c>
    </row>
    <row r="107" spans="1:15" x14ac:dyDescent="0.3">
      <c r="A107" s="208" t="str">
        <f t="shared" ref="A107:A120" ca="1" si="12">IF(SUM(G107:H107)&gt;0,"s","h")</f>
        <v>s</v>
      </c>
      <c r="B107" s="187" t="s">
        <v>74</v>
      </c>
      <c r="C107" s="187" t="s">
        <v>192</v>
      </c>
      <c r="D107" s="210">
        <v>330</v>
      </c>
      <c r="E107" s="211">
        <v>-1</v>
      </c>
      <c r="F107" s="225">
        <f ca="1">SUMIF(MLS!$C$8:$N$376,BC_TinhHinh_TaiChinh!D107,MLS!$N$8:$N$376)*E107</f>
        <v>4136842168371</v>
      </c>
      <c r="G107" s="225">
        <f ca="1">SUMIF(MLS!$C$8:$M$376,BC_TinhHinh_TaiChinh!D107,MLS!$M$8:$M$376)*E107</f>
        <v>2463861108883</v>
      </c>
      <c r="H107" s="225">
        <f>SUMIFS(MLS!$I:$I,MLS!$C:$C,BC_TinhHinh_TaiChinh!D107)*BC_TinhHinh_TaiChinh!E107</f>
        <v>2682930181694</v>
      </c>
      <c r="I107" s="213"/>
      <c r="J107" s="214">
        <f ca="1">SUM(F108:F120)-F107</f>
        <v>0</v>
      </c>
      <c r="K107" s="214">
        <f ca="1">SUM(G108:G120)-G107</f>
        <v>0</v>
      </c>
      <c r="L107" s="214">
        <f>SUM(H108:H120)-H107</f>
        <v>0</v>
      </c>
      <c r="N107" s="294">
        <v>2463861108883</v>
      </c>
      <c r="O107" s="294">
        <v>2682930181694</v>
      </c>
    </row>
    <row r="108" spans="1:15" x14ac:dyDescent="0.3">
      <c r="A108" s="208" t="str">
        <f t="shared" ca="1" si="12"/>
        <v>h</v>
      </c>
      <c r="B108" s="215" t="s">
        <v>75</v>
      </c>
      <c r="C108" s="215" t="s">
        <v>193</v>
      </c>
      <c r="D108" s="188">
        <v>331</v>
      </c>
      <c r="E108" s="211">
        <v>-1</v>
      </c>
      <c r="F108" s="205">
        <f ca="1">SUMIF(MLS!$C$8:$N$376,BC_TinhHinh_TaiChinh!D108,MLS!$N$8:$N$376)*E108</f>
        <v>0</v>
      </c>
      <c r="G108" s="205">
        <f ca="1">SUMIF(MLS!$C$8:$M$376,BC_TinhHinh_TaiChinh!D108,MLS!$M$8:$M$376)*E108</f>
        <v>0</v>
      </c>
      <c r="H108" s="205">
        <f>SUMIFS(MLS!$I:$I,MLS!$C:$C,BC_TinhHinh_TaiChinh!D108)*BC_TinhHinh_TaiChinh!E108</f>
        <v>0</v>
      </c>
      <c r="I108" s="213"/>
      <c r="J108" s="209"/>
      <c r="K108" s="209"/>
      <c r="L108" s="209"/>
      <c r="N108" s="294">
        <v>0</v>
      </c>
      <c r="O108" s="294">
        <v>0</v>
      </c>
    </row>
    <row r="109" spans="1:15" x14ac:dyDescent="0.3">
      <c r="A109" s="208" t="str">
        <f t="shared" ca="1" si="12"/>
        <v>h</v>
      </c>
      <c r="B109" s="215" t="s">
        <v>76</v>
      </c>
      <c r="C109" s="215" t="s">
        <v>194</v>
      </c>
      <c r="D109" s="188">
        <v>332</v>
      </c>
      <c r="E109" s="211">
        <v>-1</v>
      </c>
      <c r="F109" s="205">
        <f ca="1">SUMIF(MLS!$C$8:$N$376,BC_TinhHinh_TaiChinh!D109,MLS!$N$8:$N$376)*E109</f>
        <v>0</v>
      </c>
      <c r="G109" s="205">
        <f ca="1">SUMIF(MLS!$C$8:$M$376,BC_TinhHinh_TaiChinh!D109,MLS!$M$8:$M$376)*E109</f>
        <v>0</v>
      </c>
      <c r="H109" s="205">
        <f>SUMIFS(MLS!$I:$I,MLS!$C:$C,BC_TinhHinh_TaiChinh!D109)*BC_TinhHinh_TaiChinh!E109</f>
        <v>0</v>
      </c>
      <c r="I109" s="213"/>
      <c r="J109" s="209"/>
      <c r="K109" s="209"/>
      <c r="L109" s="209"/>
      <c r="N109" s="294">
        <v>0</v>
      </c>
      <c r="O109" s="294">
        <v>0</v>
      </c>
    </row>
    <row r="110" spans="1:15" x14ac:dyDescent="0.3">
      <c r="A110" s="208" t="str">
        <f t="shared" ca="1" si="12"/>
        <v>h</v>
      </c>
      <c r="B110" s="215" t="s">
        <v>77</v>
      </c>
      <c r="C110" s="215" t="s">
        <v>195</v>
      </c>
      <c r="D110" s="188">
        <v>333</v>
      </c>
      <c r="E110" s="211">
        <v>-1</v>
      </c>
      <c r="F110" s="205">
        <f ca="1">SUMIF(MLS!$C$8:$N$376,BC_TinhHinh_TaiChinh!D110,MLS!$N$8:$N$376)*E110</f>
        <v>0</v>
      </c>
      <c r="G110" s="205">
        <f ca="1">SUMIF(MLS!$C$8:$M$376,BC_TinhHinh_TaiChinh!D110,MLS!$M$8:$M$376)*E110</f>
        <v>0</v>
      </c>
      <c r="H110" s="205">
        <f>SUMIFS(MLS!$I:$I,MLS!$C:$C,BC_TinhHinh_TaiChinh!D110)*BC_TinhHinh_TaiChinh!E110</f>
        <v>0</v>
      </c>
      <c r="I110" s="213"/>
      <c r="J110" s="209"/>
      <c r="K110" s="209"/>
      <c r="L110" s="209"/>
      <c r="N110" s="294">
        <v>0</v>
      </c>
      <c r="O110" s="294">
        <v>0</v>
      </c>
    </row>
    <row r="111" spans="1:15" x14ac:dyDescent="0.3">
      <c r="A111" s="208" t="str">
        <f t="shared" ca="1" si="12"/>
        <v>h</v>
      </c>
      <c r="B111" s="215" t="s">
        <v>78</v>
      </c>
      <c r="C111" s="215" t="s">
        <v>196</v>
      </c>
      <c r="D111" s="188">
        <v>334</v>
      </c>
      <c r="E111" s="211">
        <v>-1</v>
      </c>
      <c r="F111" s="205">
        <f ca="1">SUMIF(MLS!$C$8:$N$376,BC_TinhHinh_TaiChinh!D111,MLS!$N$8:$N$376)*E111</f>
        <v>0</v>
      </c>
      <c r="G111" s="205">
        <f ca="1">SUMIF(MLS!$C$8:$M$376,BC_TinhHinh_TaiChinh!D111,MLS!$M$8:$M$376)*E111</f>
        <v>0</v>
      </c>
      <c r="H111" s="205">
        <f>SUMIFS(MLS!$I:$I,MLS!$C:$C,BC_TinhHinh_TaiChinh!D111)*BC_TinhHinh_TaiChinh!E111</f>
        <v>0</v>
      </c>
      <c r="I111" s="213"/>
      <c r="J111" s="209"/>
      <c r="K111" s="209"/>
      <c r="L111" s="209"/>
      <c r="N111" s="294">
        <v>0</v>
      </c>
      <c r="O111" s="294">
        <v>0</v>
      </c>
    </row>
    <row r="112" spans="1:15" x14ac:dyDescent="0.3">
      <c r="A112" s="208" t="str">
        <f t="shared" ca="1" si="12"/>
        <v>h</v>
      </c>
      <c r="B112" s="215" t="s">
        <v>79</v>
      </c>
      <c r="C112" s="215" t="s">
        <v>197</v>
      </c>
      <c r="D112" s="188">
        <v>335</v>
      </c>
      <c r="E112" s="211">
        <v>-1</v>
      </c>
      <c r="F112" s="205">
        <f ca="1">SUMIF(MLS!$C$8:$N$376,BC_TinhHinh_TaiChinh!D112,MLS!$N$8:$N$376)*E112</f>
        <v>0</v>
      </c>
      <c r="G112" s="205">
        <f ca="1">SUMIF(MLS!$C$8:$M$376,BC_TinhHinh_TaiChinh!D112,MLS!$M$8:$M$376)*E112</f>
        <v>0</v>
      </c>
      <c r="H112" s="205">
        <f>SUMIFS(MLS!$I:$I,MLS!$C:$C,BC_TinhHinh_TaiChinh!D112)*BC_TinhHinh_TaiChinh!E112</f>
        <v>0</v>
      </c>
      <c r="I112" s="213"/>
      <c r="J112" s="209"/>
      <c r="K112" s="209"/>
      <c r="L112" s="209"/>
      <c r="N112" s="294">
        <v>0</v>
      </c>
      <c r="O112" s="294">
        <v>0</v>
      </c>
    </row>
    <row r="113" spans="1:15" x14ac:dyDescent="0.3">
      <c r="A113" s="208" t="str">
        <f t="shared" ca="1" si="12"/>
        <v>h</v>
      </c>
      <c r="B113" s="215" t="s">
        <v>80</v>
      </c>
      <c r="C113" s="215" t="s">
        <v>198</v>
      </c>
      <c r="D113" s="188">
        <v>336</v>
      </c>
      <c r="E113" s="211">
        <v>-1</v>
      </c>
      <c r="F113" s="205">
        <f ca="1">SUMIF(MLS!$C$8:$N$376,BC_TinhHinh_TaiChinh!D113,MLS!$N$8:$N$376)*E113</f>
        <v>0</v>
      </c>
      <c r="G113" s="205">
        <f ca="1">SUMIF(MLS!$C$8:$M$376,BC_TinhHinh_TaiChinh!D113,MLS!$M$8:$M$376)*E113</f>
        <v>0</v>
      </c>
      <c r="H113" s="205">
        <f>SUMIFS(MLS!$I:$I,MLS!$C:$C,BC_TinhHinh_TaiChinh!D113)*BC_TinhHinh_TaiChinh!E113</f>
        <v>0</v>
      </c>
      <c r="I113" s="213"/>
      <c r="J113" s="209"/>
      <c r="K113" s="209"/>
      <c r="L113" s="209"/>
      <c r="N113" s="294">
        <v>0</v>
      </c>
      <c r="O113" s="294">
        <v>0</v>
      </c>
    </row>
    <row r="114" spans="1:15" x14ac:dyDescent="0.3">
      <c r="A114" s="208" t="str">
        <f t="shared" ca="1" si="12"/>
        <v>s</v>
      </c>
      <c r="B114" s="215" t="s">
        <v>81</v>
      </c>
      <c r="C114" s="215" t="s">
        <v>199</v>
      </c>
      <c r="D114" s="188">
        <v>337</v>
      </c>
      <c r="E114" s="211">
        <v>-1</v>
      </c>
      <c r="F114" s="205">
        <f ca="1">SUMIF(MLS!$C$8:$N$376,BC_TinhHinh_TaiChinh!D114,MLS!$N$8:$N$376)*E114</f>
        <v>4056842168371</v>
      </c>
      <c r="G114" s="205">
        <f ca="1">SUMIF(MLS!$C$8:$M$376,BC_TinhHinh_TaiChinh!D114,MLS!$M$8:$M$376)*E114</f>
        <v>2463861108883</v>
      </c>
      <c r="H114" s="205">
        <f>SUMIFS(MLS!$I:$I,MLS!$C:$C,BC_TinhHinh_TaiChinh!D114)*BC_TinhHinh_TaiChinh!E114</f>
        <v>2682930181694</v>
      </c>
      <c r="I114" s="213"/>
      <c r="J114" s="209"/>
      <c r="K114" s="209"/>
      <c r="L114" s="209"/>
      <c r="N114" s="294">
        <v>2463861108883</v>
      </c>
      <c r="O114" s="294">
        <v>2682930181694</v>
      </c>
    </row>
    <row r="115" spans="1:15" x14ac:dyDescent="0.3">
      <c r="A115" s="208" t="str">
        <f t="shared" ca="1" si="12"/>
        <v>h</v>
      </c>
      <c r="B115" s="215" t="s">
        <v>82</v>
      </c>
      <c r="C115" s="215" t="s">
        <v>200</v>
      </c>
      <c r="D115" s="188">
        <v>338</v>
      </c>
      <c r="E115" s="211">
        <v>-1</v>
      </c>
      <c r="F115" s="205">
        <f ca="1">SUMIF(MLS!$C$8:$N$376,BC_TinhHinh_TaiChinh!D115,MLS!$N$8:$N$376)*E115</f>
        <v>80000000000</v>
      </c>
      <c r="G115" s="205">
        <f ca="1">SUMIF(MLS!$C$8:$M$376,BC_TinhHinh_TaiChinh!D115,MLS!$M$8:$M$376)*E115</f>
        <v>0</v>
      </c>
      <c r="H115" s="205">
        <f>SUMIFS(MLS!$I:$I,MLS!$C:$C,BC_TinhHinh_TaiChinh!D115)*BC_TinhHinh_TaiChinh!E115</f>
        <v>0</v>
      </c>
      <c r="I115" s="213"/>
      <c r="J115" s="209"/>
      <c r="K115" s="209"/>
      <c r="L115" s="209"/>
      <c r="N115" s="294">
        <v>0</v>
      </c>
      <c r="O115" s="294">
        <v>0</v>
      </c>
    </row>
    <row r="116" spans="1:15" x14ac:dyDescent="0.3">
      <c r="A116" s="208" t="str">
        <f t="shared" ca="1" si="12"/>
        <v>h</v>
      </c>
      <c r="B116" s="215" t="s">
        <v>83</v>
      </c>
      <c r="C116" s="215" t="s">
        <v>201</v>
      </c>
      <c r="D116" s="188">
        <v>339</v>
      </c>
      <c r="E116" s="211">
        <v>-1</v>
      </c>
      <c r="F116" s="205">
        <f ca="1">SUMIF(MLS!$C$8:$N$376,BC_TinhHinh_TaiChinh!D116,MLS!$N$8:$N$376)*E116</f>
        <v>0</v>
      </c>
      <c r="G116" s="205">
        <f ca="1">SUMIF(MLS!$C$8:$M$376,BC_TinhHinh_TaiChinh!D116,MLS!$M$8:$M$376)*E116</f>
        <v>0</v>
      </c>
      <c r="H116" s="205">
        <f>SUMIFS(MLS!$I:$I,MLS!$C:$C,BC_TinhHinh_TaiChinh!D116)*BC_TinhHinh_TaiChinh!E116</f>
        <v>0</v>
      </c>
      <c r="I116" s="213"/>
      <c r="J116" s="209"/>
      <c r="K116" s="209"/>
      <c r="L116" s="209"/>
      <c r="N116" s="294">
        <v>0</v>
      </c>
      <c r="O116" s="294">
        <v>0</v>
      </c>
    </row>
    <row r="117" spans="1:15" x14ac:dyDescent="0.3">
      <c r="A117" s="208" t="str">
        <f t="shared" ca="1" si="12"/>
        <v>h</v>
      </c>
      <c r="B117" s="215" t="s">
        <v>84</v>
      </c>
      <c r="C117" s="215" t="s">
        <v>202</v>
      </c>
      <c r="D117" s="188">
        <v>340</v>
      </c>
      <c r="E117" s="211">
        <v>-1</v>
      </c>
      <c r="F117" s="205">
        <f ca="1">SUMIF(MLS!$C$8:$N$376,BC_TinhHinh_TaiChinh!D117,MLS!$N$8:$N$376)*E117</f>
        <v>0</v>
      </c>
      <c r="G117" s="205">
        <f ca="1">SUMIF(MLS!$C$8:$M$376,BC_TinhHinh_TaiChinh!D117,MLS!$M$8:$M$376)*E117</f>
        <v>0</v>
      </c>
      <c r="H117" s="205">
        <f>SUMIFS(MLS!$I:$I,MLS!$C:$C,BC_TinhHinh_TaiChinh!D117)*BC_TinhHinh_TaiChinh!E117</f>
        <v>0</v>
      </c>
      <c r="I117" s="213"/>
      <c r="J117" s="209"/>
      <c r="K117" s="209"/>
      <c r="L117" s="209"/>
      <c r="N117" s="294">
        <v>0</v>
      </c>
      <c r="O117" s="294">
        <v>0</v>
      </c>
    </row>
    <row r="118" spans="1:15" x14ac:dyDescent="0.3">
      <c r="A118" s="208" t="str">
        <f t="shared" ca="1" si="12"/>
        <v>h</v>
      </c>
      <c r="B118" s="215" t="s">
        <v>85</v>
      </c>
      <c r="C118" s="215" t="s">
        <v>203</v>
      </c>
      <c r="D118" s="188">
        <v>341</v>
      </c>
      <c r="E118" s="211">
        <v>-1</v>
      </c>
      <c r="F118" s="205">
        <f ca="1">SUMIF(MLS!$C$8:$N$376,BC_TinhHinh_TaiChinh!D118,MLS!$N$8:$N$376)*E118</f>
        <v>0</v>
      </c>
      <c r="G118" s="205">
        <f ca="1">SUMIF(MLS!$C$8:$M$376,BC_TinhHinh_TaiChinh!D118,MLS!$M$8:$M$376)*E118</f>
        <v>0</v>
      </c>
      <c r="H118" s="205">
        <f>SUMIFS(MLS!$I:$I,MLS!$C:$C,BC_TinhHinh_TaiChinh!D118)*BC_TinhHinh_TaiChinh!E118</f>
        <v>0</v>
      </c>
      <c r="I118" s="213"/>
      <c r="J118" s="209"/>
      <c r="K118" s="209"/>
      <c r="L118" s="209"/>
      <c r="N118" s="294">
        <v>0</v>
      </c>
      <c r="O118" s="294">
        <v>0</v>
      </c>
    </row>
    <row r="119" spans="1:15" x14ac:dyDescent="0.3">
      <c r="A119" s="208" t="str">
        <f t="shared" ca="1" si="12"/>
        <v>h</v>
      </c>
      <c r="B119" s="215" t="s">
        <v>86</v>
      </c>
      <c r="C119" s="215" t="s">
        <v>204</v>
      </c>
      <c r="D119" s="188">
        <v>342</v>
      </c>
      <c r="E119" s="211">
        <v>-1</v>
      </c>
      <c r="F119" s="218">
        <f ca="1">SUMIF(MLS!$C$8:$N$376,BC_TinhHinh_TaiChinh!D119,MLS!$N$8:$N$376)*E119</f>
        <v>0</v>
      </c>
      <c r="G119" s="218">
        <f ca="1">SUMIF(MLS!$C$8:$M$376,BC_TinhHinh_TaiChinh!D119,MLS!$M$8:$M$376)*E119</f>
        <v>0</v>
      </c>
      <c r="H119" s="218">
        <f>SUMIFS(MLS!$I:$I,MLS!$C:$C,BC_TinhHinh_TaiChinh!D119)*BC_TinhHinh_TaiChinh!E119</f>
        <v>0</v>
      </c>
      <c r="I119" s="213"/>
      <c r="J119" s="209"/>
      <c r="K119" s="209"/>
      <c r="L119" s="209"/>
      <c r="N119" s="294">
        <v>0</v>
      </c>
      <c r="O119" s="294">
        <v>0</v>
      </c>
    </row>
    <row r="120" spans="1:15" x14ac:dyDescent="0.3">
      <c r="A120" s="208" t="str">
        <f t="shared" ca="1" si="12"/>
        <v>h</v>
      </c>
      <c r="B120" s="215" t="s">
        <v>87</v>
      </c>
      <c r="C120" s="215" t="s">
        <v>205</v>
      </c>
      <c r="D120" s="188">
        <v>343</v>
      </c>
      <c r="E120" s="211">
        <v>-1</v>
      </c>
      <c r="F120" s="205">
        <f ca="1">SUMIF(MLS!$C$8:$N$376,BC_TinhHinh_TaiChinh!D120,MLS!$N$8:$N$376)*E120</f>
        <v>0</v>
      </c>
      <c r="G120" s="205">
        <f ca="1">SUMIF(MLS!$C$8:$M$376,BC_TinhHinh_TaiChinh!D120,MLS!$M$8:$M$376)*E120</f>
        <v>0</v>
      </c>
      <c r="H120" s="205">
        <f>SUMIFS(MLS!$I:$I,MLS!$C:$C,BC_TinhHinh_TaiChinh!D120)*BC_TinhHinh_TaiChinh!E120</f>
        <v>0</v>
      </c>
      <c r="I120" s="213"/>
      <c r="J120" s="209"/>
      <c r="K120" s="209"/>
      <c r="L120" s="209"/>
      <c r="N120" s="294">
        <v>0</v>
      </c>
      <c r="O120" s="294">
        <v>0</v>
      </c>
    </row>
    <row r="121" spans="1:15" x14ac:dyDescent="0.3">
      <c r="A121" s="208"/>
      <c r="F121" s="218"/>
      <c r="G121" s="218"/>
      <c r="H121" s="218"/>
      <c r="I121" s="218"/>
      <c r="J121" s="209"/>
      <c r="K121" s="209"/>
      <c r="L121" s="209"/>
      <c r="N121" s="294">
        <v>0</v>
      </c>
      <c r="O121" s="294">
        <v>0</v>
      </c>
    </row>
    <row r="122" spans="1:15" x14ac:dyDescent="0.3">
      <c r="A122" s="208"/>
      <c r="F122" s="218"/>
      <c r="G122" s="218"/>
      <c r="H122" s="218"/>
      <c r="I122" s="218"/>
      <c r="J122" s="209"/>
      <c r="K122" s="209"/>
      <c r="L122" s="209"/>
      <c r="N122" s="294">
        <v>0</v>
      </c>
      <c r="O122" s="294">
        <v>0</v>
      </c>
    </row>
    <row r="123" spans="1:15" x14ac:dyDescent="0.3">
      <c r="A123" s="208" t="str">
        <f ca="1">IF(SUM(G123:H123)&gt;0,"s","h")</f>
        <v>s</v>
      </c>
      <c r="B123" s="187" t="s">
        <v>88</v>
      </c>
      <c r="C123" s="187" t="s">
        <v>211</v>
      </c>
      <c r="D123" s="210">
        <v>400</v>
      </c>
      <c r="E123" s="211">
        <v>-1</v>
      </c>
      <c r="F123" s="225">
        <f ca="1">SUMIF(MLS!$C$8:$N$376,BC_TinhHinh_TaiChinh!D123,MLS!$N$8:$N$376)*E123</f>
        <v>2379585059313</v>
      </c>
      <c r="G123" s="225">
        <f ca="1">SUMIF(MLS!$C$8:$M$376,BC_TinhHinh_TaiChinh!D123,MLS!$M$8:$M$376)*E123</f>
        <v>2306352549195</v>
      </c>
      <c r="H123" s="225">
        <f>SUMIFS(MLS!$I:$I,MLS!$C:$C,BC_TinhHinh_TaiChinh!D123)*BC_TinhHinh_TaiChinh!E123</f>
        <v>2221107732411</v>
      </c>
      <c r="I123" s="213"/>
      <c r="J123" s="214">
        <f ca="1">F123-F125-F144</f>
        <v>0</v>
      </c>
      <c r="K123" s="214">
        <f ca="1">G123-G125-G144</f>
        <v>0</v>
      </c>
      <c r="L123" s="214">
        <f>H123-H125-H144</f>
        <v>0</v>
      </c>
      <c r="N123" s="294">
        <v>2306352549195</v>
      </c>
      <c r="O123" s="294">
        <v>2221107732411</v>
      </c>
    </row>
    <row r="124" spans="1:15" x14ac:dyDescent="0.3">
      <c r="A124" s="208"/>
      <c r="F124" s="218"/>
      <c r="G124" s="218"/>
      <c r="H124" s="218"/>
      <c r="I124" s="218"/>
      <c r="J124" s="209"/>
      <c r="K124" s="209"/>
      <c r="L124" s="209"/>
      <c r="N124" s="294">
        <v>0</v>
      </c>
      <c r="O124" s="294">
        <v>0</v>
      </c>
    </row>
    <row r="125" spans="1:15" x14ac:dyDescent="0.3">
      <c r="A125" s="208" t="str">
        <f t="shared" ref="A125:A142" ca="1" si="13">IF(SUM(G125:H125)&gt;0,"s","h")</f>
        <v>s</v>
      </c>
      <c r="B125" s="187" t="s">
        <v>89</v>
      </c>
      <c r="C125" s="187" t="s">
        <v>212</v>
      </c>
      <c r="D125" s="210">
        <v>410</v>
      </c>
      <c r="E125" s="211">
        <v>-1</v>
      </c>
      <c r="F125" s="225">
        <f ca="1">SUMIF(MLS!$C$8:$N$376,BC_TinhHinh_TaiChinh!D125,MLS!$N$8:$N$376)*E125</f>
        <v>2379585059313</v>
      </c>
      <c r="G125" s="225">
        <f ca="1">SUMIF(MLS!$C$8:$M$376,BC_TinhHinh_TaiChinh!D125,MLS!$M$8:$M$376)*E125</f>
        <v>2306352549195</v>
      </c>
      <c r="H125" s="225">
        <f>SUMIFS(MLS!$I:$I,MLS!$C:$C,BC_TinhHinh_TaiChinh!D125)*BC_TinhHinh_TaiChinh!E125</f>
        <v>2221107732411</v>
      </c>
      <c r="I125" s="213"/>
      <c r="J125" s="214">
        <f ca="1">F125-SUM(F126,F129:F138,F141:F142)</f>
        <v>0</v>
      </c>
      <c r="K125" s="214">
        <f ca="1">G125-SUM(G126,G129:G138,G141:G142)</f>
        <v>0</v>
      </c>
      <c r="L125" s="214">
        <f>H125-SUM(H126,H129:H138,H141:H142)</f>
        <v>0</v>
      </c>
      <c r="N125" s="294">
        <v>2306352549195</v>
      </c>
      <c r="O125" s="294">
        <v>2221107732411</v>
      </c>
    </row>
    <row r="126" spans="1:15" x14ac:dyDescent="0.3">
      <c r="A126" s="208" t="str">
        <f t="shared" ca="1" si="13"/>
        <v>s</v>
      </c>
      <c r="B126" s="226" t="s">
        <v>90</v>
      </c>
      <c r="C126" s="226" t="s">
        <v>206</v>
      </c>
      <c r="D126" s="188">
        <v>411</v>
      </c>
      <c r="E126" s="211">
        <v>-1</v>
      </c>
      <c r="F126" s="218">
        <f ca="1">SUMIF(MLS!$C$8:$N$376,BC_TinhHinh_TaiChinh!D126,MLS!$N$8:$N$376)*E126</f>
        <v>3333889810736</v>
      </c>
      <c r="G126" s="218">
        <f ca="1">G127</f>
        <v>3333889810736</v>
      </c>
      <c r="H126" s="218">
        <f>SUMIFS(MLS!$I:$I,MLS!$C:$C,BC_TinhHinh_TaiChinh!D126)*BC_TinhHinh_TaiChinh!E126</f>
        <v>2491460264268</v>
      </c>
      <c r="I126" s="213"/>
      <c r="J126" s="214">
        <f ca="1">F126-SUM(F127:F128)</f>
        <v>0</v>
      </c>
      <c r="K126" s="214">
        <f ca="1">G126-SUM(G127:G128)</f>
        <v>0</v>
      </c>
      <c r="L126" s="214">
        <f>H126-SUM(H127:H128)</f>
        <v>0</v>
      </c>
      <c r="N126" s="294">
        <v>2491460264268</v>
      </c>
      <c r="O126" s="294">
        <v>2491460264268</v>
      </c>
    </row>
    <row r="127" spans="1:15" x14ac:dyDescent="0.3">
      <c r="A127" s="208" t="str">
        <f t="shared" ca="1" si="13"/>
        <v>s</v>
      </c>
      <c r="B127" s="227" t="s">
        <v>208</v>
      </c>
      <c r="C127" s="228" t="s">
        <v>209</v>
      </c>
      <c r="D127" s="222" t="s">
        <v>92</v>
      </c>
      <c r="E127" s="211">
        <v>-1</v>
      </c>
      <c r="F127" s="229">
        <f ca="1">SUMIF(MLS!$C$8:$N$376,BC_TinhHinh_TaiChinh!D127,MLS!$N$8:$N$376)*E127</f>
        <v>3333889810736</v>
      </c>
      <c r="G127" s="229">
        <f ca="1">SUMIF(MLS!$C$8:$M$376,BC_TinhHinh_TaiChinh!D127,MLS!$M$8:$M$376)*E127+SUMIF(MLS!$C$8:$M$376,BC_TinhHinh_TaiChinh!D131,MLS!$M$8:$M$376)*E131</f>
        <v>3333889810736</v>
      </c>
      <c r="H127" s="229">
        <f>SUMIFS(MLS!$I:$I,MLS!$C:$C,BC_TinhHinh_TaiChinh!D127)*BC_TinhHinh_TaiChinh!E127</f>
        <v>2491460264268</v>
      </c>
      <c r="I127" s="213"/>
      <c r="J127" s="209"/>
      <c r="K127" s="209"/>
      <c r="L127" s="209"/>
      <c r="N127" s="294">
        <v>2491460264268</v>
      </c>
      <c r="O127" s="294">
        <v>2491460264268</v>
      </c>
    </row>
    <row r="128" spans="1:15" x14ac:dyDescent="0.3">
      <c r="A128" s="208" t="str">
        <f t="shared" ca="1" si="13"/>
        <v>h</v>
      </c>
      <c r="B128" s="227" t="s">
        <v>207</v>
      </c>
      <c r="C128" s="228" t="s">
        <v>210</v>
      </c>
      <c r="D128" s="222" t="s">
        <v>93</v>
      </c>
      <c r="E128" s="211">
        <v>-1</v>
      </c>
      <c r="F128" s="223">
        <f ca="1">SUMIF(MLS!$C$8:$N$376,BC_TinhHinh_TaiChinh!D128,MLS!$N$8:$N$376)*E128</f>
        <v>0</v>
      </c>
      <c r="G128" s="223">
        <f ca="1">SUMIF(MLS!$C$8:$M$376,BC_TinhHinh_TaiChinh!D128,MLS!$M$8:$M$376)*E128</f>
        <v>0</v>
      </c>
      <c r="H128" s="223">
        <f>SUMIFS(MLS!$I:$I,MLS!$C:$C,BC_TinhHinh_TaiChinh!D128)*BC_TinhHinh_TaiChinh!E128</f>
        <v>0</v>
      </c>
      <c r="I128" s="213"/>
      <c r="J128" s="209"/>
      <c r="K128" s="209"/>
      <c r="L128" s="209"/>
      <c r="N128" s="294">
        <v>0</v>
      </c>
      <c r="O128" s="294">
        <v>0</v>
      </c>
    </row>
    <row r="129" spans="1:15" x14ac:dyDescent="0.3">
      <c r="A129" s="208" t="str">
        <f t="shared" ca="1" si="13"/>
        <v>h</v>
      </c>
      <c r="B129" s="215" t="s">
        <v>94</v>
      </c>
      <c r="C129" s="215" t="s">
        <v>215</v>
      </c>
      <c r="D129" s="188">
        <v>412</v>
      </c>
      <c r="E129" s="211">
        <v>-1</v>
      </c>
      <c r="F129" s="205">
        <f ca="1">SUMIF(MLS!$C$8:$N$376,BC_TinhHinh_TaiChinh!D129,MLS!$N$8:$N$376)*E129</f>
        <v>0</v>
      </c>
      <c r="G129" s="205">
        <f ca="1">SUMIF(MLS!$C$8:$M$376,BC_TinhHinh_TaiChinh!D129,MLS!$M$8:$M$376)*E129</f>
        <v>0</v>
      </c>
      <c r="H129" s="205">
        <f>SUMIFS(MLS!$I:$I,MLS!$C:$C,BC_TinhHinh_TaiChinh!D129)*BC_TinhHinh_TaiChinh!E129</f>
        <v>0</v>
      </c>
      <c r="I129" s="213"/>
      <c r="J129" s="209"/>
      <c r="K129" s="209"/>
      <c r="L129" s="209"/>
      <c r="N129" s="294">
        <v>0</v>
      </c>
      <c r="O129" s="294">
        <v>0</v>
      </c>
    </row>
    <row r="130" spans="1:15" x14ac:dyDescent="0.3">
      <c r="A130" s="208" t="str">
        <f t="shared" ca="1" si="13"/>
        <v>h</v>
      </c>
      <c r="B130" s="215" t="s">
        <v>95</v>
      </c>
      <c r="C130" s="215" t="s">
        <v>216</v>
      </c>
      <c r="D130" s="188">
        <v>413</v>
      </c>
      <c r="E130" s="211">
        <v>-1</v>
      </c>
      <c r="F130" s="205">
        <f ca="1">SUMIF(MLS!$C$8:$N$376,BC_TinhHinh_TaiChinh!D130,MLS!$N$8:$N$376)*E130</f>
        <v>0</v>
      </c>
      <c r="G130" s="205">
        <f ca="1">SUMIF(MLS!$C$8:$M$376,BC_TinhHinh_TaiChinh!D130,MLS!$M$8:$M$376)*E130</f>
        <v>0</v>
      </c>
      <c r="H130" s="205">
        <f>SUMIFS(MLS!$I:$I,MLS!$C:$C,BC_TinhHinh_TaiChinh!D130)*BC_TinhHinh_TaiChinh!E130</f>
        <v>0</v>
      </c>
      <c r="I130" s="213"/>
      <c r="J130" s="209"/>
      <c r="K130" s="209"/>
      <c r="L130" s="209"/>
      <c r="N130" s="294">
        <v>0</v>
      </c>
      <c r="O130" s="294">
        <v>0</v>
      </c>
    </row>
    <row r="131" spans="1:15" x14ac:dyDescent="0.3">
      <c r="A131" s="208" t="str">
        <f t="shared" ca="1" si="13"/>
        <v>s</v>
      </c>
      <c r="B131" s="215" t="s">
        <v>96</v>
      </c>
      <c r="C131" s="215" t="s">
        <v>217</v>
      </c>
      <c r="D131" s="188">
        <v>414</v>
      </c>
      <c r="E131" s="211">
        <v>-1</v>
      </c>
      <c r="F131" s="205">
        <f ca="1">SUMIF(MLS!$C$8:$N$376,BC_TinhHinh_TaiChinh!D131,MLS!$N$8:$N$376)*E131</f>
        <v>0</v>
      </c>
      <c r="G131" s="205">
        <f ca="1">SUMIF(MLS!$C$8:$M$376,BC_TinhHinh_TaiChinh!D131,MLS!$M$8:$M$376)*E131*0</f>
        <v>0</v>
      </c>
      <c r="H131" s="205">
        <f>SUMIFS(MLS!$I:$I,MLS!$C:$C,BC_TinhHinh_TaiChinh!D131)*BC_TinhHinh_TaiChinh!E131</f>
        <v>842429546468</v>
      </c>
      <c r="I131" s="213"/>
      <c r="J131" s="209"/>
      <c r="K131" s="209"/>
      <c r="L131" s="209"/>
      <c r="N131" s="294">
        <v>842429546468</v>
      </c>
      <c r="O131" s="294">
        <v>842429546468</v>
      </c>
    </row>
    <row r="132" spans="1:15" x14ac:dyDescent="0.3">
      <c r="A132" s="208" t="str">
        <f t="shared" ca="1" si="13"/>
        <v>h</v>
      </c>
      <c r="B132" s="215" t="s">
        <v>97</v>
      </c>
      <c r="C132" s="215" t="s">
        <v>218</v>
      </c>
      <c r="D132" s="188">
        <v>415</v>
      </c>
      <c r="E132" s="211">
        <v>-1</v>
      </c>
      <c r="F132" s="205">
        <f ca="1">SUMIF(MLS!$C$8:$N$376,BC_TinhHinh_TaiChinh!D132,MLS!$N$8:$N$376)*E132</f>
        <v>0</v>
      </c>
      <c r="G132" s="205">
        <f ca="1">SUMIF(MLS!$C$8:$M$376,BC_TinhHinh_TaiChinh!D132,MLS!$M$8:$M$376)*E132</f>
        <v>0</v>
      </c>
      <c r="H132" s="205">
        <f>SUMIFS(MLS!$I:$I,MLS!$C:$C,BC_TinhHinh_TaiChinh!D132)*BC_TinhHinh_TaiChinh!E132</f>
        <v>0</v>
      </c>
      <c r="I132" s="213"/>
      <c r="J132" s="209"/>
      <c r="K132" s="209"/>
      <c r="L132" s="209"/>
      <c r="N132" s="294">
        <v>0</v>
      </c>
      <c r="O132" s="294">
        <v>0</v>
      </c>
    </row>
    <row r="133" spans="1:15" x14ac:dyDescent="0.3">
      <c r="A133" s="208" t="str">
        <f t="shared" ca="1" si="13"/>
        <v>h</v>
      </c>
      <c r="B133" s="215" t="s">
        <v>98</v>
      </c>
      <c r="C133" s="215" t="s">
        <v>219</v>
      </c>
      <c r="D133" s="188">
        <v>416</v>
      </c>
      <c r="E133" s="211">
        <v>-1</v>
      </c>
      <c r="F133" s="205">
        <f ca="1">SUMIF(MLS!$C$8:$N$376,BC_TinhHinh_TaiChinh!D133,MLS!$N$8:$N$376)*E133</f>
        <v>0</v>
      </c>
      <c r="G133" s="205">
        <f ca="1">SUMIF(MLS!$C$8:$M$376,BC_TinhHinh_TaiChinh!D133,MLS!$M$8:$M$376)*E133</f>
        <v>0</v>
      </c>
      <c r="H133" s="205">
        <f>SUMIFS(MLS!$I:$I,MLS!$C:$C,BC_TinhHinh_TaiChinh!D133)*BC_TinhHinh_TaiChinh!E133</f>
        <v>0</v>
      </c>
      <c r="I133" s="213"/>
      <c r="J133" s="209"/>
      <c r="K133" s="209"/>
      <c r="L133" s="209"/>
      <c r="N133" s="294">
        <v>0</v>
      </c>
      <c r="O133" s="294">
        <v>0</v>
      </c>
    </row>
    <row r="134" spans="1:15" x14ac:dyDescent="0.3">
      <c r="A134" s="208" t="str">
        <f t="shared" ca="1" si="13"/>
        <v>h</v>
      </c>
      <c r="B134" s="215" t="s">
        <v>99</v>
      </c>
      <c r="C134" s="215" t="s">
        <v>220</v>
      </c>
      <c r="D134" s="188">
        <v>417</v>
      </c>
      <c r="E134" s="211">
        <v>-1</v>
      </c>
      <c r="F134" s="205">
        <f ca="1">SUMIF(MLS!$C$8:$N$376,BC_TinhHinh_TaiChinh!D134,MLS!$N$8:$N$376)*E134</f>
        <v>0</v>
      </c>
      <c r="G134" s="205">
        <f ca="1">SUMIF(MLS!$C$8:$M$376,BC_TinhHinh_TaiChinh!D134,MLS!$M$8:$M$376)*E134</f>
        <v>0</v>
      </c>
      <c r="H134" s="205">
        <f>SUMIFS(MLS!$I:$I,MLS!$C:$C,BC_TinhHinh_TaiChinh!D134)*BC_TinhHinh_TaiChinh!E134</f>
        <v>0</v>
      </c>
      <c r="I134" s="213"/>
      <c r="J134" s="209"/>
      <c r="K134" s="209"/>
      <c r="L134" s="209"/>
      <c r="N134" s="294">
        <v>0</v>
      </c>
      <c r="O134" s="294">
        <v>0</v>
      </c>
    </row>
    <row r="135" spans="1:15" x14ac:dyDescent="0.3">
      <c r="A135" s="208" t="str">
        <f t="shared" ca="1" si="13"/>
        <v>h</v>
      </c>
      <c r="B135" s="215" t="s">
        <v>100</v>
      </c>
      <c r="C135" s="215" t="s">
        <v>221</v>
      </c>
      <c r="D135" s="188">
        <v>418</v>
      </c>
      <c r="E135" s="211">
        <v>-1</v>
      </c>
      <c r="F135" s="205">
        <f ca="1">SUMIF(MLS!$C$8:$N$376,BC_TinhHinh_TaiChinh!D135,MLS!$N$8:$N$376)*E135</f>
        <v>0</v>
      </c>
      <c r="G135" s="205">
        <f ca="1">SUMIF(MLS!$C$8:$M$376,BC_TinhHinh_TaiChinh!D135,MLS!$M$8:$M$376)*E135</f>
        <v>0</v>
      </c>
      <c r="H135" s="205">
        <f>SUMIFS(MLS!$I:$I,MLS!$C:$C,BC_TinhHinh_TaiChinh!D135)*BC_TinhHinh_TaiChinh!E135</f>
        <v>0</v>
      </c>
      <c r="I135" s="213"/>
      <c r="J135" s="209"/>
      <c r="K135" s="209"/>
      <c r="L135" s="209"/>
      <c r="N135" s="294">
        <v>0</v>
      </c>
      <c r="O135" s="294">
        <v>0</v>
      </c>
    </row>
    <row r="136" spans="1:15" x14ac:dyDescent="0.3">
      <c r="A136" s="208" t="str">
        <f t="shared" ca="1" si="13"/>
        <v>h</v>
      </c>
      <c r="B136" s="215" t="s">
        <v>101</v>
      </c>
      <c r="C136" s="215" t="s">
        <v>222</v>
      </c>
      <c r="D136" s="188">
        <v>419</v>
      </c>
      <c r="E136" s="211">
        <v>-1</v>
      </c>
      <c r="F136" s="205">
        <f ca="1">SUMIF(MLS!$C$8:$N$376,BC_TinhHinh_TaiChinh!D136,MLS!$N$8:$N$376)*E136</f>
        <v>0</v>
      </c>
      <c r="G136" s="205">
        <f ca="1">SUMIF(MLS!$C$8:$M$376,BC_TinhHinh_TaiChinh!D136,MLS!$M$8:$M$376)*E136</f>
        <v>0</v>
      </c>
      <c r="H136" s="205">
        <f>SUMIFS(MLS!$I:$I,MLS!$C:$C,BC_TinhHinh_TaiChinh!D136)*BC_TinhHinh_TaiChinh!E136</f>
        <v>0</v>
      </c>
      <c r="I136" s="213"/>
      <c r="J136" s="209"/>
      <c r="K136" s="209"/>
      <c r="L136" s="209"/>
      <c r="N136" s="294">
        <v>0</v>
      </c>
      <c r="O136" s="294">
        <v>0</v>
      </c>
    </row>
    <row r="137" spans="1:15" x14ac:dyDescent="0.3">
      <c r="A137" s="208" t="str">
        <f t="shared" ca="1" si="13"/>
        <v>h</v>
      </c>
      <c r="B137" s="215" t="s">
        <v>102</v>
      </c>
      <c r="C137" s="215" t="s">
        <v>223</v>
      </c>
      <c r="D137" s="188">
        <v>420</v>
      </c>
      <c r="E137" s="211">
        <v>-1</v>
      </c>
      <c r="F137" s="205">
        <f ca="1">SUMIF(MLS!$C$8:$N$376,BC_TinhHinh_TaiChinh!D137,MLS!$N$8:$N$376)*E137</f>
        <v>0</v>
      </c>
      <c r="G137" s="205">
        <f ca="1">SUMIF(MLS!$C$8:$M$376,BC_TinhHinh_TaiChinh!D137,MLS!$M$8:$M$376)*E137</f>
        <v>0</v>
      </c>
      <c r="H137" s="205">
        <f>SUMIFS(MLS!$I:$I,MLS!$C:$C,BC_TinhHinh_TaiChinh!D137)*BC_TinhHinh_TaiChinh!E137</f>
        <v>0</v>
      </c>
      <c r="I137" s="213"/>
      <c r="J137" s="209"/>
      <c r="K137" s="209"/>
      <c r="L137" s="209"/>
      <c r="N137" s="294">
        <v>0</v>
      </c>
      <c r="O137" s="294">
        <v>0</v>
      </c>
    </row>
    <row r="138" spans="1:15" x14ac:dyDescent="0.3">
      <c r="A138" s="208" t="str">
        <f t="shared" ca="1" si="13"/>
        <v>h</v>
      </c>
      <c r="B138" s="215" t="s">
        <v>103</v>
      </c>
      <c r="C138" s="215" t="s">
        <v>224</v>
      </c>
      <c r="D138" s="188">
        <v>421</v>
      </c>
      <c r="E138" s="211">
        <v>-1</v>
      </c>
      <c r="F138" s="218">
        <f ca="1">SUMIF(MLS!$C$8:$N$376,BC_TinhHinh_TaiChinh!D138,MLS!$N$8:$N$376)*E138</f>
        <v>-954304751423</v>
      </c>
      <c r="G138" s="218">
        <f ca="1">SUMIF(MLS!$C$8:$M$376,BC_TinhHinh_TaiChinh!D138,MLS!$M$8:$M$376)*E138</f>
        <v>-1027537261541</v>
      </c>
      <c r="H138" s="218">
        <f>SUMIFS(MLS!$I:$I,MLS!$C:$C,BC_TinhHinh_TaiChinh!D138)*BC_TinhHinh_TaiChinh!E138</f>
        <v>-1112782078325</v>
      </c>
      <c r="I138" s="213"/>
      <c r="J138" s="214">
        <f ca="1">SUM(F139:F140)-F138</f>
        <v>0</v>
      </c>
      <c r="K138" s="214">
        <f ca="1">SUM(G139:G140)-G138</f>
        <v>0</v>
      </c>
      <c r="L138" s="214">
        <f>SUM(H139:H140)-H138</f>
        <v>0</v>
      </c>
      <c r="N138" s="294">
        <v>-1027537261541</v>
      </c>
      <c r="O138" s="294">
        <v>-1112782078325</v>
      </c>
    </row>
    <row r="139" spans="1:15" x14ac:dyDescent="0.3">
      <c r="A139" s="208" t="str">
        <f t="shared" ca="1" si="13"/>
        <v>h</v>
      </c>
      <c r="B139" s="227" t="s">
        <v>213</v>
      </c>
      <c r="C139" s="227" t="s">
        <v>225</v>
      </c>
      <c r="D139" s="222" t="s">
        <v>105</v>
      </c>
      <c r="E139" s="211">
        <v>-1</v>
      </c>
      <c r="F139" s="229">
        <f ca="1">SUMIF(MLS!$C$8:$N$376,BC_TinhHinh_TaiChinh!D139,MLS!$N$8:$N$376)*E139</f>
        <v>-1027537261541</v>
      </c>
      <c r="G139" s="229">
        <f ca="1">SUMIF(MLS!$C$8:$M$376,BC_TinhHinh_TaiChinh!D139,MLS!$M$8:$M$376)*E139</f>
        <v>-1112782078325</v>
      </c>
      <c r="H139" s="229">
        <f>SUMIFS(MLS!$I:$I,MLS!$C:$C,BC_TinhHinh_TaiChinh!D139)*BC_TinhHinh_TaiChinh!E139</f>
        <v>-1155861463050</v>
      </c>
      <c r="I139" s="213"/>
      <c r="J139" s="209"/>
      <c r="K139" s="209"/>
      <c r="L139" s="209"/>
      <c r="N139" s="294">
        <v>-1112782078325</v>
      </c>
      <c r="O139" s="294">
        <v>-1155861463050</v>
      </c>
    </row>
    <row r="140" spans="1:15" x14ac:dyDescent="0.3">
      <c r="A140" s="208" t="str">
        <f t="shared" ca="1" si="13"/>
        <v>s</v>
      </c>
      <c r="B140" s="227" t="s">
        <v>214</v>
      </c>
      <c r="C140" s="227" t="s">
        <v>226</v>
      </c>
      <c r="D140" s="222" t="s">
        <v>106</v>
      </c>
      <c r="E140" s="211">
        <v>-1</v>
      </c>
      <c r="F140" s="229">
        <f ca="1">SUMIF(MLS!$C$8:$N$376,BC_TinhHinh_TaiChinh!D140,MLS!$N$8:$N$376)*E140</f>
        <v>73232510118</v>
      </c>
      <c r="G140" s="229">
        <f ca="1">SUMIF(MLS!$C$8:$M$376,BC_TinhHinh_TaiChinh!D140,MLS!$M$8:$M$376)*E140</f>
        <v>85244816784</v>
      </c>
      <c r="H140" s="229">
        <f>SUMIFS(MLS!$I:$I,MLS!$C:$C,BC_TinhHinh_TaiChinh!D140)*BC_TinhHinh_TaiChinh!E140</f>
        <v>43079384725</v>
      </c>
      <c r="I140" s="213"/>
      <c r="J140" s="209"/>
      <c r="K140" s="209"/>
      <c r="L140" s="209"/>
      <c r="N140" s="294">
        <v>85244816784</v>
      </c>
      <c r="O140" s="294">
        <v>43079384725</v>
      </c>
    </row>
    <row r="141" spans="1:15" x14ac:dyDescent="0.3">
      <c r="A141" s="208" t="str">
        <f t="shared" ca="1" si="13"/>
        <v>h</v>
      </c>
      <c r="B141" s="215" t="s">
        <v>107</v>
      </c>
      <c r="C141" s="215" t="s">
        <v>227</v>
      </c>
      <c r="D141" s="188">
        <v>422</v>
      </c>
      <c r="E141" s="211">
        <v>-1</v>
      </c>
      <c r="F141" s="205">
        <f ca="1">SUMIF(MLS!$C$8:$N$376,BC_TinhHinh_TaiChinh!D141,MLS!$N$8:$N$376)*E141</f>
        <v>0</v>
      </c>
      <c r="G141" s="205">
        <f ca="1">SUMIF(MLS!$C$8:$M$376,BC_TinhHinh_TaiChinh!D141,MLS!$M$8:$M$376)*E141</f>
        <v>0</v>
      </c>
      <c r="H141" s="205">
        <f>SUMIFS(MLS!$I:$I,MLS!$C:$C,BC_TinhHinh_TaiChinh!D141)*BC_TinhHinh_TaiChinh!E141</f>
        <v>0</v>
      </c>
      <c r="I141" s="213"/>
      <c r="J141" s="209"/>
      <c r="K141" s="209"/>
      <c r="L141" s="209"/>
      <c r="N141" s="294">
        <v>0</v>
      </c>
      <c r="O141" s="294">
        <v>0</v>
      </c>
    </row>
    <row r="142" spans="1:15" x14ac:dyDescent="0.3">
      <c r="A142" s="208" t="str">
        <f t="shared" ca="1" si="13"/>
        <v>h</v>
      </c>
      <c r="B142" s="215" t="s">
        <v>108</v>
      </c>
      <c r="C142" s="215" t="s">
        <v>228</v>
      </c>
      <c r="D142" s="188">
        <v>429</v>
      </c>
      <c r="E142" s="211">
        <v>-1</v>
      </c>
      <c r="F142" s="205">
        <f ca="1">SUMIF(MLS!$C$8:$N$376,BC_TinhHinh_TaiChinh!D142,MLS!$N$8:$N$376)*E142</f>
        <v>0</v>
      </c>
      <c r="G142" s="205">
        <f ca="1">SUMIF(MLS!$C$8:$M$376,BC_TinhHinh_TaiChinh!D142,MLS!$M$8:$M$376)*E142</f>
        <v>0</v>
      </c>
      <c r="H142" s="205">
        <f>SUMIFS(MLS!$I:$I,MLS!$C:$C,BC_TinhHinh_TaiChinh!D142)*BC_TinhHinh_TaiChinh!E142</f>
        <v>0</v>
      </c>
      <c r="I142" s="213"/>
      <c r="J142" s="209"/>
      <c r="K142" s="209"/>
      <c r="L142" s="209"/>
      <c r="N142" s="294">
        <v>0</v>
      </c>
      <c r="O142" s="294">
        <v>0</v>
      </c>
    </row>
    <row r="143" spans="1:15" x14ac:dyDescent="0.3">
      <c r="A143" s="208"/>
      <c r="F143" s="218">
        <f ca="1">SUMIF(MLS!$C$8:$N$376,BC_TinhHinh_TaiChinh!D143,MLS!$N$8:$N$376)*E143</f>
        <v>0</v>
      </c>
      <c r="G143" s="218">
        <f ca="1">SUMIF(MLS!$C$8:$M$376,BC_TinhHinh_TaiChinh!D143,MLS!$M$8:$M$376)*E143</f>
        <v>0</v>
      </c>
      <c r="H143" s="218"/>
      <c r="I143" s="218"/>
      <c r="J143" s="209"/>
      <c r="K143" s="209"/>
      <c r="L143" s="209"/>
      <c r="N143" s="294">
        <v>0</v>
      </c>
      <c r="O143" s="294">
        <v>0</v>
      </c>
    </row>
    <row r="144" spans="1:15" x14ac:dyDescent="0.3">
      <c r="A144" s="208" t="str">
        <f t="shared" ref="A144:A146" ca="1" si="14">IF(SUM(G144:H144)&gt;0,"s","h")</f>
        <v>h</v>
      </c>
      <c r="B144" s="187" t="s">
        <v>109</v>
      </c>
      <c r="C144" s="187" t="s">
        <v>229</v>
      </c>
      <c r="D144" s="210">
        <v>430</v>
      </c>
      <c r="E144" s="211">
        <v>-1</v>
      </c>
      <c r="F144" s="212">
        <f ca="1">SUMIF(MLS!$C$8:$N$376,BC_TinhHinh_TaiChinh!D144,MLS!$N$8:$N$376)*E144</f>
        <v>0</v>
      </c>
      <c r="G144" s="212">
        <f ca="1">SUMIF(MLS!$C$8:$M$376,BC_TinhHinh_TaiChinh!D144,MLS!$M$8:$M$376)*E144</f>
        <v>0</v>
      </c>
      <c r="H144" s="212">
        <f>SUMIFS(MLS!$I:$I,MLS!$C:$C,BC_TinhHinh_TaiChinh!D144)*BC_TinhHinh_TaiChinh!E144</f>
        <v>0</v>
      </c>
      <c r="I144" s="213"/>
      <c r="J144" s="214">
        <f ca="1">SUM(F145:F146)-F144</f>
        <v>0</v>
      </c>
      <c r="K144" s="214">
        <f ca="1">SUM(G145:G146)-G144</f>
        <v>0</v>
      </c>
      <c r="L144" s="214">
        <f>SUM(H145:H146)-H144</f>
        <v>0</v>
      </c>
      <c r="N144" s="294">
        <v>0</v>
      </c>
      <c r="O144" s="294">
        <v>0</v>
      </c>
    </row>
    <row r="145" spans="1:15" x14ac:dyDescent="0.3">
      <c r="A145" s="208" t="str">
        <f t="shared" ca="1" si="14"/>
        <v>h</v>
      </c>
      <c r="B145" s="215" t="s">
        <v>110</v>
      </c>
      <c r="C145" s="215" t="s">
        <v>230</v>
      </c>
      <c r="D145" s="188">
        <v>431</v>
      </c>
      <c r="E145" s="211">
        <v>-1</v>
      </c>
      <c r="F145" s="205">
        <f ca="1">SUMIF(MLS!$C$8:$N$376,BC_TinhHinh_TaiChinh!D145,MLS!$N$8:$N$376)*E145</f>
        <v>0</v>
      </c>
      <c r="G145" s="205">
        <f ca="1">SUMIF(MLS!$C$8:$M$376,BC_TinhHinh_TaiChinh!D145,MLS!$M$8:$M$376)*E145</f>
        <v>0</v>
      </c>
      <c r="H145" s="205">
        <f>SUMIFS(MLS!$I:$I,MLS!$C:$C,BC_TinhHinh_TaiChinh!D145)*BC_TinhHinh_TaiChinh!E145</f>
        <v>0</v>
      </c>
      <c r="I145" s="213"/>
      <c r="J145" s="209"/>
      <c r="K145" s="209"/>
      <c r="L145" s="209"/>
      <c r="N145" s="294">
        <v>0</v>
      </c>
      <c r="O145" s="294">
        <v>0</v>
      </c>
    </row>
    <row r="146" spans="1:15" x14ac:dyDescent="0.3">
      <c r="A146" s="208" t="str">
        <f t="shared" ca="1" si="14"/>
        <v>h</v>
      </c>
      <c r="B146" s="215" t="s">
        <v>111</v>
      </c>
      <c r="C146" s="215" t="s">
        <v>231</v>
      </c>
      <c r="D146" s="188">
        <v>432</v>
      </c>
      <c r="E146" s="211">
        <v>-1</v>
      </c>
      <c r="F146" s="205">
        <f ca="1">SUMIF(MLS!$C$8:$N$376,BC_TinhHinh_TaiChinh!D146,MLS!$N$8:$N$376)*E146</f>
        <v>0</v>
      </c>
      <c r="G146" s="205">
        <f ca="1">SUMIF(MLS!$C$8:$M$376,BC_TinhHinh_TaiChinh!D146,MLS!$M$8:$M$376)*E146</f>
        <v>0</v>
      </c>
      <c r="H146" s="205">
        <f>SUMIFS(MLS!$I:$I,MLS!$C:$C,BC_TinhHinh_TaiChinh!D146)*BC_TinhHinh_TaiChinh!E146</f>
        <v>0</v>
      </c>
      <c r="I146" s="213"/>
      <c r="J146" s="209"/>
      <c r="K146" s="209"/>
      <c r="L146" s="209"/>
      <c r="N146" s="294">
        <v>0</v>
      </c>
      <c r="O146" s="294">
        <v>0</v>
      </c>
    </row>
    <row r="147" spans="1:15" x14ac:dyDescent="0.3">
      <c r="A147" s="208"/>
      <c r="F147" s="205">
        <f ca="1">SUMIF(MLS!$C$8:$N$376,BC_TinhHinh_TaiChinh!D147,MLS!$N$8:$N$376)*E147</f>
        <v>0</v>
      </c>
      <c r="G147" s="205">
        <f ca="1">SUMIF(MLS!$C$8:$M$376,BC_TinhHinh_TaiChinh!D147,MLS!$M$8:$M$376)*E147</f>
        <v>0</v>
      </c>
      <c r="I147" s="205"/>
      <c r="J147" s="209"/>
      <c r="K147" s="209"/>
      <c r="L147" s="209"/>
      <c r="N147" s="294">
        <v>0</v>
      </c>
      <c r="O147" s="294">
        <v>0</v>
      </c>
    </row>
    <row r="148" spans="1:15" ht="22.5" customHeight="1" thickBot="1" x14ac:dyDescent="0.35">
      <c r="A148" s="208" t="str">
        <f ca="1">IF(SUM(G148:H148)&gt;0,"s","h")</f>
        <v>s</v>
      </c>
      <c r="B148" s="187" t="s">
        <v>233</v>
      </c>
      <c r="C148" s="187" t="s">
        <v>234</v>
      </c>
      <c r="D148" s="210">
        <v>440</v>
      </c>
      <c r="E148" s="211">
        <v>-1</v>
      </c>
      <c r="F148" s="224">
        <f ca="1">SUMIF(MLS!$C$8:$N$376,BC_TinhHinh_TaiChinh!D148,MLS!$N$8:$N$376)*E148</f>
        <v>6623041759566</v>
      </c>
      <c r="G148" s="224">
        <f ca="1">SUMIF(MLS!$C$8:$M$376,BC_TinhHinh_TaiChinh!D148,MLS!$M$8:$M$376)*E148</f>
        <v>4781188285204</v>
      </c>
      <c r="H148" s="224">
        <f>SUMIFS(MLS!$I:$I,MLS!$C:$C,BC_TinhHinh_TaiChinh!D148)*BC_TinhHinh_TaiChinh!E148</f>
        <v>4943027581368</v>
      </c>
      <c r="I148" s="213"/>
      <c r="J148" s="214">
        <f ca="1">F148-F89-F123</f>
        <v>0</v>
      </c>
      <c r="K148" s="214">
        <f ca="1">G148-G89-G123</f>
        <v>0</v>
      </c>
      <c r="L148" s="214">
        <f>H148-H89-H123</f>
        <v>0</v>
      </c>
      <c r="N148" s="294">
        <v>4781188285204</v>
      </c>
      <c r="O148" s="294">
        <v>4943027581368</v>
      </c>
    </row>
    <row r="149" spans="1:15" ht="17.25" thickTop="1" x14ac:dyDescent="0.3">
      <c r="B149" s="187"/>
      <c r="C149" s="187"/>
      <c r="I149" s="205"/>
      <c r="J149" s="214">
        <f ca="1">F148-F84</f>
        <v>0</v>
      </c>
      <c r="K149" s="214">
        <f ca="1">G148-G84</f>
        <v>0</v>
      </c>
      <c r="L149" s="214">
        <f>H148-H84</f>
        <v>0</v>
      </c>
      <c r="N149" s="294">
        <v>0</v>
      </c>
      <c r="O149" s="294">
        <v>0</v>
      </c>
    </row>
    <row r="154" spans="1:15" x14ac:dyDescent="0.3">
      <c r="F154" s="230"/>
      <c r="G154" s="230"/>
      <c r="H154" s="230"/>
      <c r="I154" s="231"/>
    </row>
  </sheetData>
  <autoFilter ref="A5:L149"/>
  <customSheetViews>
    <customSheetView guid="{7D77170C-09CD-4EEC-BB83-B3AA6C853D06}" showPageBreaks="1" fitToPage="1" printArea="1" showAutoFilter="1" hiddenColumns="1" topLeftCell="A19">
      <selection sqref="A1:A1048576"/>
      <pageMargins left="0.95" right="0.3" top="0.25" bottom="0" header="0.1" footer="0.1"/>
      <pageSetup paperSize="9" scale="43" orientation="portrait" r:id="rId1"/>
      <autoFilter ref="A5:X148"/>
    </customSheetView>
    <customSheetView guid="{A802F8BE-E184-4275-8F47-F417811C9A4E}" showPageBreaks="1" fitToPage="1" printArea="1" showAutoFilter="1" hiddenColumns="1" view="pageBreakPreview">
      <pane xSplit="2" ySplit="4" topLeftCell="D107" activePane="bottomRight" state="frozen"/>
      <selection pane="bottomRight" activeCell="F24" sqref="F24"/>
      <pageMargins left="0.95" right="0.3" top="0.25" bottom="0" header="0.1" footer="0.1"/>
      <pageSetup paperSize="9" scale="43" orientation="portrait" r:id="rId2"/>
      <autoFilter ref="A5:P148"/>
    </customSheetView>
    <customSheetView guid="{0796A30C-2FFF-4A21-B2AE-A5991690F213}" showPageBreaks="1" fitToPage="1" printArea="1" showAutoFilter="1" hiddenColumns="1" view="pageBreakPreview">
      <pane xSplit="2" ySplit="4" topLeftCell="D107" activePane="bottomRight" state="frozen"/>
      <selection pane="bottomRight" activeCell="F24" sqref="F24"/>
      <pageMargins left="0.95" right="0.3" top="0.25" bottom="0" header="0.1" footer="0.1"/>
      <pageSetup paperSize="9" scale="43" orientation="portrait" r:id="rId3"/>
      <autoFilter ref="A5:P148"/>
    </customSheetView>
    <customSheetView guid="{4E825B2D-08AF-434A-8916-FE9D1F47F8D7}" fitToPage="1" filter="1" showAutoFilter="1" hiddenColumns="1">
      <selection activeCell="D110" sqref="D110"/>
      <pageMargins left="0.95" right="0.3" top="0.25" bottom="0" header="0.1" footer="0.1"/>
      <pageSetup paperSize="9" scale="51" orientation="portrait" r:id="rId4"/>
      <autoFilter ref="A5:X148">
        <filterColumn colId="3">
          <customFilters>
            <customFilter operator="notEqual" val=" "/>
          </customFilters>
        </filterColumn>
      </autoFilter>
    </customSheetView>
    <customSheetView guid="{A3D7BE5A-A938-4021-A801-1DAF67AB037C}" fitToPage="1" filter="1" showAutoFilter="1" hiddenColumns="1">
      <selection activeCell="D110" sqref="D110"/>
      <pageMargins left="0.95" right="0.3" top="0.25" bottom="0" header="0.1" footer="0.1"/>
      <pageSetup paperSize="9" scale="51" orientation="portrait" r:id="rId5"/>
      <autoFilter ref="A5:X148">
        <filterColumn colId="3">
          <customFilters>
            <customFilter operator="notEqual" val=" "/>
          </customFilters>
        </filterColumn>
      </autoFilter>
    </customSheetView>
    <customSheetView guid="{431ED707-2363-4119-8E0B-F4208B03A2D2}" showPageBreaks="1" fitToPage="1" printArea="1" showAutoFilter="1" hiddenColumns="1" topLeftCell="A31">
      <selection activeCell="F48" sqref="F48"/>
      <pageMargins left="0.95" right="0.3" top="0.25" bottom="0" header="0.1" footer="0.1"/>
      <pageSetup paperSize="9" scale="43" orientation="portrait" r:id="rId6"/>
      <autoFilter ref="A5:X148"/>
    </customSheetView>
  </customSheetViews>
  <conditionalFormatting sqref="L6:L149">
    <cfRule type="cellIs" dxfId="348" priority="8" operator="notEqual">
      <formula>0</formula>
    </cfRule>
  </conditionalFormatting>
  <conditionalFormatting sqref="L8:L149">
    <cfRule type="cellIs" dxfId="347" priority="7" operator="notEqual">
      <formula>0</formula>
    </cfRule>
  </conditionalFormatting>
  <conditionalFormatting sqref="K6:K149">
    <cfRule type="cellIs" dxfId="346" priority="4" operator="notEqual">
      <formula>0</formula>
    </cfRule>
  </conditionalFormatting>
  <conditionalFormatting sqref="K8:K149">
    <cfRule type="cellIs" dxfId="345" priority="3" operator="notEqual">
      <formula>0</formula>
    </cfRule>
  </conditionalFormatting>
  <conditionalFormatting sqref="J6:J149">
    <cfRule type="cellIs" dxfId="344" priority="2" operator="notEqual">
      <formula>0</formula>
    </cfRule>
  </conditionalFormatting>
  <conditionalFormatting sqref="J8:J149">
    <cfRule type="cellIs" dxfId="343" priority="1" operator="notEqual">
      <formula>0</formula>
    </cfRule>
  </conditionalFormatting>
  <pageMargins left="0.95" right="0.3" top="0.25" bottom="0" header="0.1" footer="0.1"/>
  <pageSetup paperSize="9" scale="33" orientation="portrait"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63"/>
  <sheetViews>
    <sheetView showGridLines="0" zoomScale="145" zoomScaleNormal="145" workbookViewId="0">
      <selection activeCell="B10" sqref="B10"/>
    </sheetView>
  </sheetViews>
  <sheetFormatPr defaultColWidth="9.140625" defaultRowHeight="16.5" x14ac:dyDescent="0.3"/>
  <cols>
    <col min="1" max="1" width="14.28515625" style="280" customWidth="1"/>
    <col min="2" max="2" width="34.140625" style="280" customWidth="1"/>
    <col min="3" max="4" width="23.28515625" style="193" customWidth="1"/>
    <col min="5" max="5" width="19.140625" style="193" customWidth="1"/>
    <col min="6" max="6" width="23.5703125" style="193" customWidth="1"/>
    <col min="7" max="7" width="21.28515625" style="193" customWidth="1"/>
    <col min="8" max="8" width="17.42578125" style="193" customWidth="1"/>
    <col min="9" max="9" width="22.140625" style="193" bestFit="1" customWidth="1"/>
    <col min="10" max="10" width="17.28515625" style="193" bestFit="1" customWidth="1"/>
    <col min="11" max="11" width="9.140625" style="193"/>
    <col min="12" max="12" width="16.140625" style="193" bestFit="1" customWidth="1"/>
    <col min="13" max="16384" width="9.140625" style="193"/>
  </cols>
  <sheetData>
    <row r="1" spans="1:11" x14ac:dyDescent="0.3">
      <c r="A1" s="317" t="s">
        <v>982</v>
      </c>
    </row>
    <row r="3" spans="1:11" s="277" customFormat="1" x14ac:dyDescent="0.3">
      <c r="A3" s="276" t="str">
        <f>BC_TinhHinh_TaiChinh!C10</f>
        <v>Tiền và các khoản tương đương tiền</v>
      </c>
      <c r="B3" s="276"/>
      <c r="E3" s="278"/>
      <c r="F3" s="278"/>
      <c r="G3" s="278"/>
      <c r="H3" s="278"/>
      <c r="I3" s="278"/>
    </row>
    <row r="4" spans="1:11" x14ac:dyDescent="0.3">
      <c r="A4" s="337" t="str">
        <f>A3</f>
        <v>Tiền và các khoản tương đương tiền</v>
      </c>
      <c r="B4" s="187"/>
      <c r="C4" s="355" t="str">
        <f>BC_TinhHinh_TaiChinh!F3</f>
        <v>31/12/2020</v>
      </c>
      <c r="D4" s="346" t="str">
        <f>BC_TinhHinh_TaiChinh!G3</f>
        <v>1/1/2020</v>
      </c>
      <c r="E4" s="280"/>
      <c r="F4" s="280"/>
      <c r="G4" s="280"/>
      <c r="H4" s="280"/>
      <c r="I4" s="280"/>
    </row>
    <row r="5" spans="1:11" x14ac:dyDescent="0.3">
      <c r="A5" s="337" t="str">
        <f t="shared" ref="A5:A13" si="0">A4</f>
        <v>Tiền và các khoản tương đương tiền</v>
      </c>
      <c r="B5" s="187"/>
      <c r="C5" s="351" t="s">
        <v>589</v>
      </c>
      <c r="D5" s="210" t="s">
        <v>589</v>
      </c>
      <c r="E5" s="280"/>
      <c r="F5" s="280"/>
      <c r="G5" s="280"/>
      <c r="H5" s="280"/>
      <c r="I5" s="280"/>
    </row>
    <row r="6" spans="1:11" x14ac:dyDescent="0.3">
      <c r="A6" s="337" t="str">
        <f t="shared" si="0"/>
        <v>Tiền và các khoản tương đương tiền</v>
      </c>
      <c r="B6" s="186"/>
      <c r="C6" s="353"/>
      <c r="D6" s="281"/>
      <c r="E6" s="280"/>
      <c r="F6" s="280"/>
      <c r="G6" s="280"/>
      <c r="H6" s="280"/>
      <c r="I6" s="280"/>
    </row>
    <row r="7" spans="1:11" x14ac:dyDescent="0.3">
      <c r="A7" s="337" t="str">
        <f t="shared" si="0"/>
        <v>Tiền và các khoản tương đương tiền</v>
      </c>
      <c r="B7" s="186" t="s">
        <v>238</v>
      </c>
      <c r="C7" s="292">
        <v>3928744</v>
      </c>
      <c r="D7" s="292">
        <f>MLS!M11</f>
        <v>12928744</v>
      </c>
      <c r="E7" s="280"/>
      <c r="F7" s="280"/>
      <c r="G7" s="280"/>
      <c r="H7" s="280"/>
      <c r="I7" s="280"/>
    </row>
    <row r="8" spans="1:11" x14ac:dyDescent="0.3">
      <c r="A8" s="337" t="str">
        <f t="shared" si="0"/>
        <v>Tiền và các khoản tương đương tiền</v>
      </c>
      <c r="B8" s="186" t="s">
        <v>239</v>
      </c>
      <c r="C8" s="292">
        <f>SUM(TB_Convert!M5:M11)-C9</f>
        <v>9783185862</v>
      </c>
      <c r="D8" s="292">
        <f>MLS!M15</f>
        <v>38300807</v>
      </c>
      <c r="E8" s="280"/>
      <c r="F8" s="280"/>
      <c r="G8" s="280"/>
      <c r="H8"/>
      <c r="I8"/>
      <c r="J8"/>
      <c r="K8"/>
    </row>
    <row r="9" spans="1:11" ht="17.25" thickBot="1" x14ac:dyDescent="0.35">
      <c r="A9" s="337" t="str">
        <f t="shared" si="0"/>
        <v>Tiền và các khoản tương đương tiền</v>
      </c>
      <c r="B9" s="186" t="s">
        <v>122</v>
      </c>
      <c r="C9" s="302">
        <f>SUM(TB_Convert!M7,TB_Convert!M10)</f>
        <v>50000000000</v>
      </c>
      <c r="D9" s="302">
        <v>0</v>
      </c>
      <c r="H9"/>
      <c r="I9"/>
      <c r="J9"/>
      <c r="K9"/>
    </row>
    <row r="10" spans="1:11" ht="17.25" thickBot="1" x14ac:dyDescent="0.35">
      <c r="A10" s="337" t="str">
        <f t="shared" si="0"/>
        <v>Tiền và các khoản tương đương tiền</v>
      </c>
      <c r="B10" s="186"/>
      <c r="C10" s="285">
        <f>SUM(C7:C9)</f>
        <v>59787114606</v>
      </c>
      <c r="D10" s="285">
        <f>SUM(D7:D8)</f>
        <v>51229551</v>
      </c>
      <c r="H10"/>
      <c r="I10"/>
      <c r="J10"/>
      <c r="K10"/>
    </row>
    <row r="11" spans="1:11" ht="17.25" thickTop="1" x14ac:dyDescent="0.3">
      <c r="A11" s="337" t="str">
        <f t="shared" si="0"/>
        <v>Tiền và các khoản tương đương tiền</v>
      </c>
      <c r="B11" s="186"/>
      <c r="C11" s="286" t="b">
        <f ca="1">C10=BC_TinhHinh_TaiChinh!F10</f>
        <v>1</v>
      </c>
      <c r="D11" s="286" t="b">
        <f ca="1">D10=BC_TinhHinh_TaiChinh!G10</f>
        <v>1</v>
      </c>
      <c r="H11"/>
      <c r="I11"/>
      <c r="J11"/>
      <c r="K11"/>
    </row>
    <row r="12" spans="1:11" x14ac:dyDescent="0.3">
      <c r="A12" s="337" t="str">
        <f t="shared" si="0"/>
        <v>Tiền và các khoản tương đương tiền</v>
      </c>
      <c r="B12" s="186"/>
      <c r="C12" s="280" t="b">
        <f ca="1">C10=BC_TinhHinh_TaiChinh!F10</f>
        <v>1</v>
      </c>
      <c r="D12" s="280" t="b">
        <f ca="1">D10=BC_TinhHinh_TaiChinh!G10</f>
        <v>1</v>
      </c>
      <c r="E12" s="280"/>
      <c r="F12" s="280"/>
      <c r="G12" s="280"/>
      <c r="H12"/>
      <c r="I12"/>
      <c r="J12"/>
      <c r="K12"/>
    </row>
    <row r="13" spans="1:11" x14ac:dyDescent="0.3">
      <c r="A13" s="337" t="str">
        <f t="shared" si="0"/>
        <v>Tiền và các khoản tương đương tiền</v>
      </c>
      <c r="B13" s="186"/>
      <c r="C13" s="280"/>
      <c r="D13" s="280"/>
      <c r="E13" s="280"/>
      <c r="F13" s="280"/>
      <c r="G13" s="280"/>
      <c r="H13"/>
      <c r="I13"/>
      <c r="J13"/>
      <c r="K13"/>
    </row>
    <row r="14" spans="1:11" s="277" customFormat="1" x14ac:dyDescent="0.3">
      <c r="A14" s="276" t="str">
        <f>BC_TinhHinh_TaiChinh!C20</f>
        <v>Phải thu ngắn hạn của khách hàng</v>
      </c>
      <c r="B14" s="276"/>
      <c r="E14" s="278"/>
      <c r="F14" s="278"/>
      <c r="G14" s="278"/>
      <c r="H14" s="278"/>
      <c r="I14" s="278"/>
      <c r="J14" s="278"/>
      <c r="K14" s="278"/>
    </row>
    <row r="15" spans="1:11" x14ac:dyDescent="0.3">
      <c r="A15" s="337" t="str">
        <f>A14</f>
        <v>Phải thu ngắn hạn của khách hàng</v>
      </c>
      <c r="B15" s="186"/>
      <c r="C15" s="347" t="str">
        <f>C4</f>
        <v>31/12/2020</v>
      </c>
      <c r="D15" s="347" t="str">
        <f>D4</f>
        <v>1/1/2020</v>
      </c>
      <c r="E15" s="280"/>
      <c r="F15" s="280"/>
      <c r="G15" s="280"/>
      <c r="H15"/>
      <c r="I15"/>
      <c r="J15"/>
      <c r="K15"/>
    </row>
    <row r="16" spans="1:11" x14ac:dyDescent="0.3">
      <c r="A16" s="337" t="str">
        <f t="shared" ref="A16:A20" si="1">A15</f>
        <v>Phải thu ngắn hạn của khách hàng</v>
      </c>
      <c r="B16" s="186"/>
      <c r="C16" s="333" t="str">
        <f>C5</f>
        <v>VND</v>
      </c>
      <c r="D16" s="333" t="str">
        <f>D5</f>
        <v>VND</v>
      </c>
      <c r="E16" s="280"/>
      <c r="F16" s="280"/>
      <c r="G16" s="280"/>
      <c r="H16" s="280"/>
      <c r="I16" s="280"/>
    </row>
    <row r="17" spans="1:9" x14ac:dyDescent="0.3">
      <c r="A17" s="337" t="str">
        <f t="shared" si="1"/>
        <v>Phải thu ngắn hạn của khách hàng</v>
      </c>
      <c r="B17" s="186" t="s">
        <v>983</v>
      </c>
      <c r="C17" s="334"/>
      <c r="D17" s="334">
        <v>9300000000</v>
      </c>
      <c r="E17" s="280"/>
      <c r="F17" s="280"/>
      <c r="G17" s="280"/>
      <c r="H17" s="280"/>
      <c r="I17" s="280"/>
    </row>
    <row r="18" spans="1:9" ht="17.25" thickBot="1" x14ac:dyDescent="0.35">
      <c r="A18" s="337" t="str">
        <f t="shared" si="1"/>
        <v>Phải thu ngắn hạn của khách hàng</v>
      </c>
      <c r="B18" s="186"/>
      <c r="C18" s="335">
        <f>C17</f>
        <v>0</v>
      </c>
      <c r="D18" s="335">
        <f>D17</f>
        <v>9300000000</v>
      </c>
      <c r="E18" s="280"/>
      <c r="F18" s="280"/>
      <c r="G18" s="280"/>
      <c r="H18" s="280"/>
      <c r="I18" s="280"/>
    </row>
    <row r="19" spans="1:9" ht="17.25" thickTop="1" x14ac:dyDescent="0.3">
      <c r="A19" s="337" t="str">
        <f t="shared" si="1"/>
        <v>Phải thu ngắn hạn của khách hàng</v>
      </c>
      <c r="B19" s="186"/>
      <c r="C19" s="336" t="b">
        <f>C18=C17</f>
        <v>1</v>
      </c>
      <c r="D19" s="336" t="b">
        <f>D18=D17</f>
        <v>1</v>
      </c>
      <c r="E19" s="280"/>
      <c r="F19" s="280"/>
      <c r="G19" s="280"/>
      <c r="H19" s="280"/>
      <c r="I19" s="280"/>
    </row>
    <row r="20" spans="1:9" x14ac:dyDescent="0.3">
      <c r="A20" s="337" t="str">
        <f t="shared" si="1"/>
        <v>Phải thu ngắn hạn của khách hàng</v>
      </c>
      <c r="B20" s="186"/>
      <c r="C20" s="336" t="b">
        <f ca="1">C18=BC_TinhHinh_TaiChinh!F20</f>
        <v>1</v>
      </c>
      <c r="D20" s="336" t="b">
        <f ca="1">D18=BC_TinhHinh_TaiChinh!G20</f>
        <v>1</v>
      </c>
      <c r="E20" s="280"/>
      <c r="F20" s="280"/>
      <c r="G20" s="280"/>
      <c r="H20" s="280"/>
      <c r="I20" s="280"/>
    </row>
    <row r="21" spans="1:9" x14ac:dyDescent="0.3">
      <c r="A21" s="337" t="str">
        <f>A18</f>
        <v>Phải thu ngắn hạn của khách hàng</v>
      </c>
      <c r="B21" s="186"/>
      <c r="C21" s="280"/>
      <c r="D21" s="280"/>
      <c r="E21" s="280"/>
      <c r="F21" s="280"/>
      <c r="G21" s="280"/>
      <c r="H21" s="280"/>
      <c r="I21" s="280"/>
    </row>
    <row r="22" spans="1:9" s="277" customFormat="1" x14ac:dyDescent="0.3">
      <c r="A22" s="276" t="str">
        <f>BC_TinhHinh_TaiChinh!C25</f>
        <v>Phải thu ngắn hạn khác</v>
      </c>
      <c r="B22" s="276"/>
      <c r="E22" s="278"/>
      <c r="F22" s="278"/>
      <c r="G22" s="278"/>
      <c r="H22" s="278"/>
      <c r="I22" s="278"/>
    </row>
    <row r="23" spans="1:9" x14ac:dyDescent="0.3">
      <c r="A23" s="337" t="str">
        <f>A22</f>
        <v>Phải thu ngắn hạn khác</v>
      </c>
      <c r="B23" s="187"/>
      <c r="C23" s="355" t="str">
        <f>C4</f>
        <v>31/12/2020</v>
      </c>
      <c r="D23" s="346" t="str">
        <f>D4</f>
        <v>1/1/2020</v>
      </c>
      <c r="G23" s="280"/>
      <c r="H23" s="280"/>
      <c r="I23" s="280"/>
    </row>
    <row r="24" spans="1:9" x14ac:dyDescent="0.3">
      <c r="A24" s="337" t="str">
        <f t="shared" ref="A24:A32" si="2">A23</f>
        <v>Phải thu ngắn hạn khác</v>
      </c>
      <c r="B24" s="187"/>
      <c r="C24" s="351" t="s">
        <v>589</v>
      </c>
      <c r="D24" s="210" t="s">
        <v>589</v>
      </c>
      <c r="G24" s="280"/>
      <c r="H24" s="280"/>
      <c r="I24" s="280"/>
    </row>
    <row r="25" spans="1:9" x14ac:dyDescent="0.3">
      <c r="A25" s="337" t="str">
        <f t="shared" si="2"/>
        <v>Phải thu ngắn hạn khác</v>
      </c>
      <c r="B25" s="281"/>
      <c r="C25" s="353"/>
      <c r="D25" s="281"/>
      <c r="G25" s="280"/>
      <c r="H25" s="280"/>
      <c r="I25" s="280"/>
    </row>
    <row r="26" spans="1:9" ht="15" customHeight="1" x14ac:dyDescent="0.3">
      <c r="A26" s="337" t="str">
        <f t="shared" si="2"/>
        <v>Phải thu ngắn hạn khác</v>
      </c>
      <c r="B26" s="186" t="s">
        <v>270</v>
      </c>
      <c r="C26" s="330">
        <v>400000000</v>
      </c>
      <c r="D26" s="330">
        <v>400000000</v>
      </c>
      <c r="H26" s="280"/>
      <c r="I26" s="280"/>
    </row>
    <row r="27" spans="1:9" ht="15" customHeight="1" x14ac:dyDescent="0.3">
      <c r="A27" s="337" t="str">
        <f t="shared" si="2"/>
        <v>Phải thu ngắn hạn khác</v>
      </c>
      <c r="B27" s="186" t="s">
        <v>1103</v>
      </c>
      <c r="C27" s="330">
        <v>0</v>
      </c>
      <c r="D27" s="330">
        <v>0</v>
      </c>
      <c r="H27" s="280"/>
      <c r="I27" s="280"/>
    </row>
    <row r="28" spans="1:9" ht="15" customHeight="1" x14ac:dyDescent="0.3">
      <c r="A28" s="337" t="str">
        <f t="shared" si="2"/>
        <v>Phải thu ngắn hạn khác</v>
      </c>
      <c r="B28" s="186"/>
      <c r="C28" s="330"/>
      <c r="D28" s="330"/>
      <c r="H28" s="280"/>
      <c r="I28" s="280"/>
    </row>
    <row r="29" spans="1:9" ht="17.25" thickBot="1" x14ac:dyDescent="0.35">
      <c r="A29" s="337" t="str">
        <f t="shared" si="2"/>
        <v>Phải thu ngắn hạn khác</v>
      </c>
      <c r="B29" s="281"/>
      <c r="C29" s="331">
        <f>SUM(C26:C27)</f>
        <v>400000000</v>
      </c>
      <c r="D29" s="331">
        <f>SUM(D26:D27)</f>
        <v>400000000</v>
      </c>
      <c r="G29" s="280"/>
      <c r="H29" s="280"/>
      <c r="I29" s="280"/>
    </row>
    <row r="30" spans="1:9" ht="17.25" thickTop="1" x14ac:dyDescent="0.3">
      <c r="A30" s="337" t="str">
        <f t="shared" si="2"/>
        <v>Phải thu ngắn hạn khác</v>
      </c>
      <c r="B30" s="281"/>
      <c r="C30" s="332" t="b">
        <f>C29=SUM(C26:C27)</f>
        <v>1</v>
      </c>
      <c r="D30" s="332" t="b">
        <f>D29=SUM(D26:D27)</f>
        <v>1</v>
      </c>
      <c r="G30" s="280"/>
      <c r="H30" s="280"/>
      <c r="I30" s="280"/>
    </row>
    <row r="31" spans="1:9" x14ac:dyDescent="0.3">
      <c r="A31" s="337" t="str">
        <f t="shared" si="2"/>
        <v>Phải thu ngắn hạn khác</v>
      </c>
      <c r="B31" s="186"/>
      <c r="C31" s="352" t="b">
        <f ca="1">C29=BC_TinhHinh_TaiChinh!F25</f>
        <v>1</v>
      </c>
      <c r="D31" s="186" t="b">
        <f ca="1">D29=BC_TinhHinh_TaiChinh!G25</f>
        <v>1</v>
      </c>
      <c r="E31" s="352"/>
      <c r="F31" s="186"/>
      <c r="G31" s="280"/>
      <c r="H31" s="280"/>
      <c r="I31" s="280"/>
    </row>
    <row r="32" spans="1:9" x14ac:dyDescent="0.3">
      <c r="A32" s="337" t="str">
        <f t="shared" si="2"/>
        <v>Phải thu ngắn hạn khác</v>
      </c>
      <c r="B32" s="187"/>
      <c r="C32" s="280"/>
      <c r="D32" s="280"/>
      <c r="E32" s="280"/>
      <c r="F32" s="280"/>
      <c r="G32" s="280"/>
      <c r="H32" s="280"/>
      <c r="I32" s="280"/>
    </row>
    <row r="33" spans="1:11" s="277" customFormat="1" x14ac:dyDescent="0.3">
      <c r="A33" s="276" t="str">
        <f>BC_TinhHinh_TaiChinh!C48</f>
        <v>Phải thu dài hạn khác</v>
      </c>
      <c r="B33" s="276"/>
      <c r="E33" s="278"/>
      <c r="F33" s="278"/>
      <c r="G33" s="278"/>
      <c r="H33" s="278"/>
      <c r="I33" s="278"/>
      <c r="J33" s="278"/>
      <c r="K33" s="278"/>
    </row>
    <row r="34" spans="1:11" x14ac:dyDescent="0.3">
      <c r="A34" s="337" t="str">
        <f>A33</f>
        <v>Phải thu dài hạn khác</v>
      </c>
      <c r="B34" s="352"/>
      <c r="C34" s="347" t="str">
        <f>C23</f>
        <v>31/12/2020</v>
      </c>
      <c r="D34" s="347" t="str">
        <f>D23</f>
        <v>1/1/2020</v>
      </c>
      <c r="E34" s="280"/>
      <c r="F34" s="280"/>
      <c r="G34" s="280"/>
      <c r="H34"/>
      <c r="I34"/>
      <c r="J34"/>
      <c r="K34"/>
    </row>
    <row r="35" spans="1:11" x14ac:dyDescent="0.3">
      <c r="A35" s="337" t="str">
        <f t="shared" ref="A35:A39" si="3">A34</f>
        <v>Phải thu dài hạn khác</v>
      </c>
      <c r="B35" s="352"/>
      <c r="C35" s="333" t="str">
        <f>C24</f>
        <v>VND</v>
      </c>
      <c r="D35" s="333" t="str">
        <f>D24</f>
        <v>VND</v>
      </c>
      <c r="E35" s="280"/>
      <c r="F35" s="280"/>
      <c r="G35" s="280"/>
      <c r="H35" s="280"/>
      <c r="I35" s="280"/>
    </row>
    <row r="36" spans="1:11" x14ac:dyDescent="0.3">
      <c r="A36" s="337" t="str">
        <f t="shared" si="3"/>
        <v>Phải thu dài hạn khác</v>
      </c>
      <c r="B36" s="352" t="s">
        <v>1009</v>
      </c>
      <c r="C36" s="334">
        <f ca="1">BC_TinhHinh_TaiChinh!F48</f>
        <v>1841300000000</v>
      </c>
      <c r="D36" s="334">
        <v>0</v>
      </c>
      <c r="E36" s="280"/>
      <c r="F36" s="280"/>
      <c r="G36" s="280"/>
      <c r="H36" s="280"/>
      <c r="I36" s="280"/>
    </row>
    <row r="37" spans="1:11" ht="17.25" thickBot="1" x14ac:dyDescent="0.35">
      <c r="A37" s="337" t="str">
        <f t="shared" si="3"/>
        <v>Phải thu dài hạn khác</v>
      </c>
      <c r="B37" s="352"/>
      <c r="C37" s="335">
        <f ca="1">C36</f>
        <v>1841300000000</v>
      </c>
      <c r="D37" s="335">
        <f>D36</f>
        <v>0</v>
      </c>
      <c r="E37" s="280"/>
      <c r="F37" s="280"/>
      <c r="G37" s="280"/>
      <c r="H37" s="280"/>
      <c r="I37" s="280"/>
    </row>
    <row r="38" spans="1:11" ht="17.25" thickTop="1" x14ac:dyDescent="0.3">
      <c r="A38" s="337" t="str">
        <f t="shared" si="3"/>
        <v>Phải thu dài hạn khác</v>
      </c>
      <c r="B38" s="352"/>
      <c r="C38" s="336" t="b">
        <f ca="1">C37=C36</f>
        <v>1</v>
      </c>
      <c r="D38" s="336" t="b">
        <f>D37=D36</f>
        <v>1</v>
      </c>
      <c r="E38" s="280"/>
      <c r="F38" s="280"/>
      <c r="G38" s="280"/>
      <c r="H38" s="280"/>
      <c r="I38" s="280"/>
    </row>
    <row r="39" spans="1:11" x14ac:dyDescent="0.3">
      <c r="A39" s="337" t="str">
        <f t="shared" si="3"/>
        <v>Phải thu dài hạn khác</v>
      </c>
      <c r="B39" s="352"/>
      <c r="C39" s="336" t="b">
        <f ca="1">C37=BC_TinhHinh_TaiChinh!F48</f>
        <v>1</v>
      </c>
      <c r="D39" s="336" t="b">
        <f ca="1">D37=BC_TinhHinh_TaiChinh!G48</f>
        <v>1</v>
      </c>
      <c r="E39" s="280"/>
      <c r="F39" s="280"/>
      <c r="G39" s="280"/>
      <c r="H39" s="280"/>
      <c r="I39" s="280"/>
    </row>
    <row r="40" spans="1:11" x14ac:dyDescent="0.3">
      <c r="A40" s="337" t="str">
        <f>A37</f>
        <v>Phải thu dài hạn khác</v>
      </c>
      <c r="B40" s="352"/>
      <c r="C40" s="280"/>
      <c r="D40" s="280"/>
      <c r="E40" s="280"/>
      <c r="F40" s="280"/>
      <c r="G40" s="280"/>
      <c r="H40" s="280"/>
      <c r="I40" s="280"/>
    </row>
    <row r="41" spans="1:11" x14ac:dyDescent="0.3">
      <c r="A41" s="337"/>
      <c r="B41" s="352" t="s">
        <v>1010</v>
      </c>
      <c r="C41" s="280"/>
      <c r="D41" s="280"/>
      <c r="E41" s="280"/>
      <c r="F41" s="280"/>
      <c r="G41" s="280"/>
      <c r="H41" s="280"/>
      <c r="I41" s="280"/>
    </row>
    <row r="42" spans="1:11" x14ac:dyDescent="0.3">
      <c r="A42" s="337"/>
      <c r="B42" s="352"/>
      <c r="C42" s="280"/>
      <c r="D42" s="280"/>
      <c r="E42" s="280"/>
      <c r="F42" s="280"/>
      <c r="G42" s="280"/>
      <c r="H42" s="280"/>
      <c r="I42" s="280"/>
    </row>
    <row r="43" spans="1:11" s="277" customFormat="1" x14ac:dyDescent="0.3">
      <c r="A43" s="276" t="str">
        <f>BC_TinhHinh_TaiChinh!C52</f>
        <v>Tài sản cố định hữu hình</v>
      </c>
      <c r="B43" s="276" t="s">
        <v>37</v>
      </c>
      <c r="C43" s="276"/>
      <c r="D43" s="276"/>
      <c r="E43" s="278"/>
      <c r="F43" s="278"/>
      <c r="G43" s="278"/>
      <c r="H43" s="278"/>
      <c r="I43" s="278"/>
    </row>
    <row r="44" spans="1:11" x14ac:dyDescent="0.3">
      <c r="A44" s="337" t="str">
        <f>A43</f>
        <v>Tài sản cố định hữu hình</v>
      </c>
      <c r="B44" s="186"/>
      <c r="C44" s="280"/>
      <c r="D44" s="280"/>
      <c r="E44" s="329">
        <v>205</v>
      </c>
      <c r="F44" s="280" t="s">
        <v>867</v>
      </c>
      <c r="G44" s="280"/>
      <c r="H44" s="280"/>
      <c r="I44" s="280"/>
    </row>
    <row r="45" spans="1:11" x14ac:dyDescent="0.3">
      <c r="A45" s="337" t="str">
        <f t="shared" ref="A45:A50" si="4">A44</f>
        <v>Tài sản cố định hữu hình</v>
      </c>
      <c r="B45" s="186" t="s">
        <v>995</v>
      </c>
      <c r="C45" s="280"/>
      <c r="D45" s="280"/>
      <c r="E45" s="280"/>
      <c r="F45" s="280"/>
      <c r="G45" s="280"/>
      <c r="H45" s="280"/>
      <c r="I45" s="280"/>
    </row>
    <row r="46" spans="1:11" x14ac:dyDescent="0.3">
      <c r="A46" s="337" t="str">
        <f t="shared" si="4"/>
        <v>Tài sản cố định hữu hình</v>
      </c>
      <c r="B46" s="186"/>
      <c r="C46" s="280"/>
      <c r="D46" s="280"/>
      <c r="E46" s="280"/>
      <c r="F46" s="280"/>
      <c r="G46" s="280"/>
      <c r="H46" s="280"/>
      <c r="I46" s="280"/>
    </row>
    <row r="47" spans="1:11" s="277" customFormat="1" x14ac:dyDescent="0.3">
      <c r="A47" s="276" t="str">
        <f>BC_TinhHinh_TaiChinh!C58</f>
        <v>Tài sản cố định vô hình</v>
      </c>
      <c r="B47" s="276" t="s">
        <v>41</v>
      </c>
      <c r="E47" s="278"/>
      <c r="F47" s="278"/>
      <c r="G47" s="278"/>
      <c r="H47" s="278"/>
      <c r="I47" s="278"/>
    </row>
    <row r="48" spans="1:11" x14ac:dyDescent="0.3">
      <c r="A48" s="337" t="str">
        <f t="shared" si="4"/>
        <v>Tài sản cố định vô hình</v>
      </c>
      <c r="B48" s="186"/>
      <c r="C48" s="280"/>
      <c r="D48" s="280"/>
      <c r="E48" s="325">
        <v>8358</v>
      </c>
      <c r="F48" s="280" t="s">
        <v>868</v>
      </c>
      <c r="G48" s="280"/>
      <c r="H48" s="280"/>
      <c r="I48" s="280"/>
    </row>
    <row r="49" spans="1:11" x14ac:dyDescent="0.3">
      <c r="A49" s="337" t="str">
        <f t="shared" si="4"/>
        <v>Tài sản cố định vô hình</v>
      </c>
      <c r="B49" s="186" t="s">
        <v>996</v>
      </c>
      <c r="C49" s="280"/>
      <c r="D49" s="280"/>
      <c r="E49" s="280"/>
      <c r="F49" s="280"/>
      <c r="G49" s="280"/>
      <c r="H49" s="280"/>
      <c r="I49" s="280"/>
    </row>
    <row r="50" spans="1:11" x14ac:dyDescent="0.3">
      <c r="A50" s="337" t="str">
        <f t="shared" si="4"/>
        <v>Tài sản cố định vô hình</v>
      </c>
      <c r="B50" s="186"/>
      <c r="C50" s="280"/>
      <c r="D50" s="280"/>
      <c r="E50" s="280"/>
      <c r="F50" s="280"/>
      <c r="G50" s="280"/>
      <c r="H50" s="280"/>
      <c r="I50" s="280"/>
    </row>
    <row r="51" spans="1:11" s="277" customFormat="1" x14ac:dyDescent="0.3">
      <c r="A51" s="276" t="str">
        <f>BC_TinhHinh_TaiChinh!C62</f>
        <v>Bất động sản đầu tư</v>
      </c>
      <c r="B51" s="276"/>
      <c r="E51" s="278"/>
      <c r="F51" s="278"/>
      <c r="G51" s="278"/>
      <c r="H51" s="278"/>
      <c r="I51" s="278"/>
    </row>
    <row r="52" spans="1:11" x14ac:dyDescent="0.3">
      <c r="A52" s="337" t="str">
        <f>A51</f>
        <v>Bất động sản đầu tư</v>
      </c>
      <c r="B52" s="187"/>
      <c r="C52" s="354"/>
      <c r="D52" s="187"/>
      <c r="E52" s="280"/>
      <c r="F52" s="280"/>
      <c r="G52" s="280"/>
      <c r="H52" s="280"/>
      <c r="I52" s="280"/>
    </row>
    <row r="53" spans="1:11" x14ac:dyDescent="0.3">
      <c r="A53" s="337" t="str">
        <f t="shared" ref="A53:A86" si="5">A52</f>
        <v>Bất động sản đầu tư</v>
      </c>
      <c r="B53" s="187"/>
      <c r="C53" s="354"/>
      <c r="D53" s="210" t="s">
        <v>331</v>
      </c>
      <c r="E53" s="390" t="s">
        <v>997</v>
      </c>
      <c r="F53" s="210" t="s">
        <v>356</v>
      </c>
      <c r="G53" s="210" t="s">
        <v>782</v>
      </c>
      <c r="I53" s="280"/>
    </row>
    <row r="54" spans="1:11" x14ac:dyDescent="0.3">
      <c r="A54" s="337" t="str">
        <f t="shared" si="5"/>
        <v>Bất động sản đầu tư</v>
      </c>
      <c r="B54" s="187"/>
      <c r="C54" s="354"/>
      <c r="D54" s="210" t="s">
        <v>589</v>
      </c>
      <c r="E54" s="210" t="s">
        <v>589</v>
      </c>
      <c r="F54" s="210" t="s">
        <v>589</v>
      </c>
      <c r="G54" s="210" t="s">
        <v>589</v>
      </c>
      <c r="I54" s="280"/>
    </row>
    <row r="55" spans="1:11" x14ac:dyDescent="0.3">
      <c r="A55" s="337" t="str">
        <f t="shared" si="5"/>
        <v>Bất động sản đầu tư</v>
      </c>
      <c r="B55" s="187" t="s">
        <v>155</v>
      </c>
      <c r="C55" s="354"/>
      <c r="D55" s="186"/>
      <c r="E55" s="290"/>
      <c r="F55" s="290"/>
      <c r="G55" s="290"/>
      <c r="H55" s="193">
        <f>BC_TinhHinh_TaiChinh!H63</f>
        <v>6195738128825</v>
      </c>
      <c r="I55" s="280"/>
    </row>
    <row r="56" spans="1:11" x14ac:dyDescent="0.3">
      <c r="A56" s="337" t="str">
        <f t="shared" si="5"/>
        <v>Bất động sản đầu tư</v>
      </c>
      <c r="B56" s="392" t="s">
        <v>998</v>
      </c>
      <c r="C56" s="354"/>
      <c r="D56" s="216">
        <v>4370601800765</v>
      </c>
      <c r="E56" s="216">
        <v>501355399936</v>
      </c>
      <c r="F56" s="216">
        <v>1328000000000</v>
      </c>
      <c r="G56" s="216">
        <f>SUM(D56:F56)</f>
        <v>6199957200701</v>
      </c>
      <c r="H56" s="193" t="b">
        <f ca="1">G56=BC_TinhHinh_TaiChinh!G63</f>
        <v>1</v>
      </c>
    </row>
    <row r="57" spans="1:11" x14ac:dyDescent="0.3">
      <c r="A57" s="337" t="str">
        <f t="shared" si="5"/>
        <v>Bất động sản đầu tư</v>
      </c>
      <c r="B57" s="186" t="s">
        <v>999</v>
      </c>
      <c r="C57" s="354"/>
      <c r="D57" s="216">
        <v>3763487923</v>
      </c>
      <c r="E57" s="292">
        <v>0</v>
      </c>
      <c r="F57" s="292">
        <v>0</v>
      </c>
      <c r="G57" s="283">
        <f>SUM(D57:F57)</f>
        <v>3763487923</v>
      </c>
    </row>
    <row r="58" spans="1:11" ht="17.25" thickBot="1" x14ac:dyDescent="0.35">
      <c r="A58" s="337" t="str">
        <f t="shared" si="5"/>
        <v>Bất động sản đầu tư</v>
      </c>
      <c r="B58" s="186"/>
      <c r="C58" s="354"/>
      <c r="D58" s="328"/>
      <c r="E58" s="302"/>
      <c r="F58" s="302"/>
      <c r="G58" s="296"/>
    </row>
    <row r="59" spans="1:11" ht="17.25" thickBot="1" x14ac:dyDescent="0.35">
      <c r="A59" s="337" t="str">
        <f t="shared" si="5"/>
        <v>Bất động sản đầu tư</v>
      </c>
      <c r="B59" s="392" t="s">
        <v>1000</v>
      </c>
      <c r="C59" s="354"/>
      <c r="D59" s="327">
        <f>SUM(D56:D57)</f>
        <v>4374365288688</v>
      </c>
      <c r="E59" s="327">
        <f t="shared" ref="E59:F59" si="6">SUM(E56:E57)</f>
        <v>501355399936</v>
      </c>
      <c r="F59" s="327">
        <f t="shared" si="6"/>
        <v>1328000000000</v>
      </c>
      <c r="G59" s="296">
        <f>SUM(G56:G57)</f>
        <v>6203720688624</v>
      </c>
      <c r="H59" s="193" t="b">
        <f ca="1">G59=BC_TinhHinh_TaiChinh!F63</f>
        <v>1</v>
      </c>
      <c r="I59" s="387">
        <f ca="1">BC_TinhHinh_TaiChinh!F63</f>
        <v>6203720688624</v>
      </c>
    </row>
    <row r="60" spans="1:11" s="322" customFormat="1" x14ac:dyDescent="0.3">
      <c r="A60" s="337" t="str">
        <f t="shared" si="5"/>
        <v>Bất động sản đầu tư</v>
      </c>
      <c r="B60" s="321"/>
      <c r="C60" s="354"/>
      <c r="D60" s="321" t="b">
        <f>D59=SUM(D56:D57)</f>
        <v>1</v>
      </c>
      <c r="E60" s="321" t="b">
        <f>E59=SUM(E56:E57)</f>
        <v>1</v>
      </c>
      <c r="F60" s="321" t="b">
        <f>F59=SUM(F56:F57)</f>
        <v>1</v>
      </c>
      <c r="G60" s="321" t="b">
        <f>G59=SUM(G56:G57)</f>
        <v>1</v>
      </c>
      <c r="I60" s="193"/>
    </row>
    <row r="61" spans="1:11" x14ac:dyDescent="0.3">
      <c r="A61" s="337" t="str">
        <f t="shared" si="5"/>
        <v>Bất động sản đầu tư</v>
      </c>
      <c r="B61" s="187" t="s">
        <v>156</v>
      </c>
      <c r="C61" s="354"/>
      <c r="D61" s="187"/>
      <c r="E61" s="290"/>
      <c r="F61" s="290"/>
      <c r="G61" s="290"/>
    </row>
    <row r="62" spans="1:11" x14ac:dyDescent="0.3">
      <c r="A62" s="337" t="str">
        <f t="shared" si="5"/>
        <v>Bất động sản đầu tư</v>
      </c>
      <c r="B62" s="392" t="s">
        <v>998</v>
      </c>
      <c r="C62" s="354"/>
      <c r="D62" s="291">
        <v>779019886657</v>
      </c>
      <c r="E62" s="291">
        <v>411326345351</v>
      </c>
      <c r="F62" s="291">
        <v>238173913040</v>
      </c>
      <c r="G62" s="282">
        <f>SUM(D62:F62)</f>
        <v>1428520145048</v>
      </c>
      <c r="H62" s="193" t="b">
        <f ca="1">G62=-BC_TinhHinh_TaiChinh!G64</f>
        <v>1</v>
      </c>
    </row>
    <row r="63" spans="1:11" x14ac:dyDescent="0.3">
      <c r="A63" s="337" t="str">
        <f t="shared" si="5"/>
        <v>Bất động sản đầu tư</v>
      </c>
      <c r="B63" s="186" t="s">
        <v>1001</v>
      </c>
      <c r="C63" s="354"/>
      <c r="D63" s="283">
        <v>95142449280</v>
      </c>
      <c r="E63" s="283">
        <v>50014247763</v>
      </c>
      <c r="F63" s="283">
        <v>28869565217</v>
      </c>
      <c r="G63" s="282">
        <f>SUM(D63:F63)</f>
        <v>174026262260</v>
      </c>
      <c r="J63" s="294"/>
      <c r="K63" s="294"/>
    </row>
    <row r="64" spans="1:11" ht="17.25" thickBot="1" x14ac:dyDescent="0.35">
      <c r="A64" s="337" t="str">
        <f t="shared" si="5"/>
        <v>Bất động sản đầu tư</v>
      </c>
      <c r="B64" s="186"/>
      <c r="C64" s="354"/>
      <c r="D64" s="293"/>
      <c r="E64" s="284"/>
      <c r="F64" s="284"/>
      <c r="G64" s="284"/>
    </row>
    <row r="65" spans="1:9" ht="17.25" thickBot="1" x14ac:dyDescent="0.35">
      <c r="A65" s="337" t="str">
        <f t="shared" si="5"/>
        <v>Bất động sản đầu tư</v>
      </c>
      <c r="B65" s="392" t="s">
        <v>1000</v>
      </c>
      <c r="C65" s="354"/>
      <c r="D65" s="295">
        <f>SUM(D62:D63)</f>
        <v>874162335937</v>
      </c>
      <c r="E65" s="295">
        <f t="shared" ref="E65:F65" si="7">SUM(E62:E63)</f>
        <v>461340593114</v>
      </c>
      <c r="F65" s="295">
        <f t="shared" si="7"/>
        <v>267043478257</v>
      </c>
      <c r="G65" s="296">
        <f>SUM(G62:G63)</f>
        <v>1602546407308</v>
      </c>
      <c r="H65" s="297" t="b">
        <f ca="1">G65=-BC_TinhHinh_TaiChinh!F64</f>
        <v>1</v>
      </c>
    </row>
    <row r="66" spans="1:9" x14ac:dyDescent="0.3">
      <c r="A66" s="337" t="str">
        <f t="shared" si="5"/>
        <v>Bất động sản đầu tư</v>
      </c>
      <c r="B66" s="186"/>
      <c r="C66" s="354"/>
      <c r="D66" s="324" t="b">
        <f>D65=SUM(D62:D63)</f>
        <v>1</v>
      </c>
      <c r="E66" s="324" t="b">
        <f>E65=SUM(E62:E63)</f>
        <v>1</v>
      </c>
      <c r="F66" s="324" t="b">
        <f>F65=SUM(F62:F63)</f>
        <v>1</v>
      </c>
      <c r="G66" s="324" t="b">
        <f>G65=SUM(G62:G63)</f>
        <v>1</v>
      </c>
      <c r="H66" s="297"/>
    </row>
    <row r="67" spans="1:9" x14ac:dyDescent="0.3">
      <c r="A67" s="337" t="str">
        <f t="shared" si="5"/>
        <v>Bất động sản đầu tư</v>
      </c>
      <c r="B67" s="187" t="s">
        <v>1002</v>
      </c>
      <c r="C67" s="354"/>
      <c r="D67" s="321"/>
      <c r="E67" s="290"/>
      <c r="F67" s="290"/>
      <c r="G67" s="290"/>
    </row>
    <row r="68" spans="1:9" x14ac:dyDescent="0.3">
      <c r="A68" s="337" t="str">
        <f t="shared" si="5"/>
        <v>Bất động sản đầu tư</v>
      </c>
      <c r="B68" s="392" t="s">
        <v>998</v>
      </c>
      <c r="C68" s="354"/>
      <c r="D68" s="291">
        <f>D56-D62</f>
        <v>3591581914108</v>
      </c>
      <c r="E68" s="291">
        <f t="shared" ref="E68:G68" si="8">E56-E62</f>
        <v>90029054585</v>
      </c>
      <c r="F68" s="291">
        <f t="shared" si="8"/>
        <v>1089826086960</v>
      </c>
      <c r="G68" s="291">
        <f t="shared" si="8"/>
        <v>4771437055653</v>
      </c>
      <c r="H68" s="193" t="b">
        <f ca="1">G68=BC_TinhHinh_TaiChinh!G62</f>
        <v>1</v>
      </c>
    </row>
    <row r="69" spans="1:9" x14ac:dyDescent="0.3">
      <c r="A69" s="337" t="str">
        <f t="shared" si="5"/>
        <v>Bất động sản đầu tư</v>
      </c>
      <c r="B69" s="392" t="s">
        <v>1000</v>
      </c>
      <c r="C69" s="354"/>
      <c r="D69" s="291">
        <f>D59-D65</f>
        <v>3500202952751</v>
      </c>
      <c r="E69" s="291">
        <f t="shared" ref="E69:G69" si="9">E59-E65</f>
        <v>40014806822</v>
      </c>
      <c r="F69" s="291">
        <f t="shared" si="9"/>
        <v>1060956521743</v>
      </c>
      <c r="G69" s="291">
        <f t="shared" si="9"/>
        <v>4601174281316</v>
      </c>
      <c r="H69" s="193" t="b">
        <f ca="1">G69=BC_TinhHinh_TaiChinh!F62</f>
        <v>1</v>
      </c>
    </row>
    <row r="70" spans="1:9" ht="17.25" thickBot="1" x14ac:dyDescent="0.35">
      <c r="A70" s="337" t="str">
        <f t="shared" si="5"/>
        <v>Bất động sản đầu tư</v>
      </c>
      <c r="B70" s="186"/>
      <c r="C70" s="354"/>
      <c r="D70" s="298"/>
      <c r="E70" s="299"/>
      <c r="F70" s="299"/>
      <c r="G70" s="299"/>
      <c r="I70" s="280"/>
    </row>
    <row r="71" spans="1:9" ht="17.25" thickTop="1" x14ac:dyDescent="0.3">
      <c r="A71" s="337" t="str">
        <f t="shared" si="5"/>
        <v>Bất động sản đầu tư</v>
      </c>
      <c r="B71" s="186"/>
      <c r="C71" s="354"/>
      <c r="D71" s="186" t="b">
        <f>D68=D56-D62</f>
        <v>1</v>
      </c>
      <c r="E71" s="186" t="b">
        <f t="shared" ref="E71:G71" si="10">E68=E56-E62</f>
        <v>1</v>
      </c>
      <c r="F71" s="186" t="b">
        <f t="shared" si="10"/>
        <v>1</v>
      </c>
      <c r="G71" s="186" t="b">
        <f t="shared" si="10"/>
        <v>1</v>
      </c>
      <c r="H71" s="186"/>
      <c r="I71" s="280"/>
    </row>
    <row r="72" spans="1:9" x14ac:dyDescent="0.3">
      <c r="A72" s="337" t="str">
        <f t="shared" si="5"/>
        <v>Bất động sản đầu tư</v>
      </c>
      <c r="B72" s="186"/>
      <c r="C72" s="354"/>
      <c r="D72" s="280" t="b">
        <f>D69=D59-D65</f>
        <v>1</v>
      </c>
      <c r="E72" s="280" t="b">
        <f t="shared" ref="E72:G72" si="11">E69=E59-E65</f>
        <v>1</v>
      </c>
      <c r="F72" s="280" t="b">
        <f t="shared" si="11"/>
        <v>1</v>
      </c>
      <c r="G72" s="280" t="b">
        <f t="shared" si="11"/>
        <v>1</v>
      </c>
      <c r="H72" s="280"/>
      <c r="I72" s="280"/>
    </row>
    <row r="73" spans="1:9" x14ac:dyDescent="0.3">
      <c r="A73" s="337" t="str">
        <f t="shared" si="5"/>
        <v>Bất động sản đầu tư</v>
      </c>
      <c r="B73" s="186"/>
      <c r="C73" s="280"/>
      <c r="D73" s="280"/>
      <c r="E73" s="280"/>
      <c r="F73" s="280"/>
      <c r="G73" s="280"/>
      <c r="H73" s="280"/>
      <c r="I73" s="280"/>
    </row>
    <row r="74" spans="1:9" hidden="1" x14ac:dyDescent="0.3">
      <c r="A74" s="337" t="str">
        <f t="shared" si="5"/>
        <v>Bất động sản đầu tư</v>
      </c>
      <c r="B74" s="186" t="s">
        <v>984</v>
      </c>
      <c r="C74" s="280"/>
      <c r="D74" s="280"/>
      <c r="E74" s="280"/>
      <c r="F74" s="280"/>
      <c r="G74" s="280"/>
      <c r="H74" s="325">
        <v>8387000</v>
      </c>
      <c r="I74" s="280" t="s">
        <v>985</v>
      </c>
    </row>
    <row r="75" spans="1:9" hidden="1" x14ac:dyDescent="0.3">
      <c r="A75" s="337" t="str">
        <f t="shared" si="5"/>
        <v>Bất động sản đầu tư</v>
      </c>
      <c r="B75" s="186"/>
      <c r="C75" s="280"/>
      <c r="D75" s="280"/>
      <c r="E75" s="280"/>
      <c r="F75" s="280"/>
      <c r="G75" s="280"/>
      <c r="H75" s="280"/>
      <c r="I75" s="280"/>
    </row>
    <row r="76" spans="1:9" x14ac:dyDescent="0.3">
      <c r="A76" s="337" t="str">
        <f t="shared" si="5"/>
        <v>Bất động sản đầu tư</v>
      </c>
      <c r="B76" s="186"/>
      <c r="C76" s="280"/>
      <c r="D76" s="280"/>
      <c r="E76" s="280"/>
      <c r="F76" s="280"/>
      <c r="G76" s="326">
        <f>G69/10^6</f>
        <v>4601174.281316</v>
      </c>
      <c r="H76" s="193" t="s">
        <v>866</v>
      </c>
      <c r="I76" s="280"/>
    </row>
    <row r="77" spans="1:9" x14ac:dyDescent="0.3">
      <c r="A77" s="337" t="str">
        <f t="shared" si="5"/>
        <v>Bất động sản đầu tư</v>
      </c>
      <c r="B77" s="280" t="s">
        <v>1003</v>
      </c>
      <c r="C77" s="280"/>
      <c r="D77" s="280"/>
      <c r="E77" s="280"/>
      <c r="F77" s="280"/>
      <c r="G77" s="280"/>
      <c r="H77" s="280"/>
      <c r="I77" s="280"/>
    </row>
    <row r="78" spans="1:9" x14ac:dyDescent="0.3">
      <c r="A78" s="337" t="str">
        <f t="shared" si="5"/>
        <v>Bất động sản đầu tư</v>
      </c>
      <c r="C78" s="280"/>
      <c r="D78" s="280"/>
      <c r="E78" s="280"/>
      <c r="F78" s="280"/>
      <c r="G78" s="280"/>
      <c r="H78" s="280"/>
      <c r="I78" s="280"/>
    </row>
    <row r="79" spans="1:9" x14ac:dyDescent="0.3">
      <c r="A79" s="337" t="str">
        <f t="shared" si="5"/>
        <v>Bất động sản đầu tư</v>
      </c>
      <c r="B79" s="280" t="s">
        <v>1004</v>
      </c>
      <c r="C79" s="280"/>
      <c r="D79" s="280"/>
      <c r="E79" s="280"/>
      <c r="F79" s="280"/>
      <c r="G79" s="280"/>
      <c r="H79" s="280"/>
      <c r="I79" s="280"/>
    </row>
    <row r="80" spans="1:9" x14ac:dyDescent="0.3">
      <c r="A80" s="337" t="str">
        <f t="shared" si="5"/>
        <v>Bất động sản đầu tư</v>
      </c>
      <c r="B80" s="193"/>
      <c r="C80" s="280"/>
      <c r="D80" s="280"/>
      <c r="E80" s="280"/>
      <c r="F80" s="280"/>
      <c r="G80" s="280"/>
      <c r="H80" s="280"/>
      <c r="I80" s="280"/>
    </row>
    <row r="81" spans="1:9" x14ac:dyDescent="0.3">
      <c r="A81" s="337" t="str">
        <f t="shared" si="5"/>
        <v>Bất động sản đầu tư</v>
      </c>
      <c r="C81" s="280"/>
      <c r="D81" s="280"/>
      <c r="E81" s="280"/>
      <c r="F81" s="280"/>
      <c r="G81" s="280"/>
      <c r="H81" s="280"/>
      <c r="I81" s="280"/>
    </row>
    <row r="82" spans="1:9" x14ac:dyDescent="0.3">
      <c r="A82" s="337" t="str">
        <f t="shared" si="5"/>
        <v>Bất động sản đầu tư</v>
      </c>
      <c r="B82" s="187" t="s">
        <v>856</v>
      </c>
      <c r="C82" s="279" t="s">
        <v>860</v>
      </c>
      <c r="D82" s="279" t="s">
        <v>860</v>
      </c>
      <c r="E82" s="280" t="s">
        <v>861</v>
      </c>
      <c r="F82" s="280" t="s">
        <v>862</v>
      </c>
      <c r="G82" s="280"/>
      <c r="H82" s="280"/>
      <c r="I82" s="280"/>
    </row>
    <row r="83" spans="1:9" x14ac:dyDescent="0.3">
      <c r="A83" s="337" t="str">
        <f t="shared" si="5"/>
        <v>Bất động sản đầu tư</v>
      </c>
      <c r="B83" s="186" t="s">
        <v>355</v>
      </c>
      <c r="C83" s="188" t="s">
        <v>857</v>
      </c>
      <c r="D83" s="188" t="s">
        <v>857</v>
      </c>
      <c r="E83" s="279"/>
      <c r="F83" s="279" t="s">
        <v>857</v>
      </c>
      <c r="G83" s="280"/>
      <c r="H83" s="280"/>
      <c r="I83" s="280"/>
    </row>
    <row r="84" spans="1:9" x14ac:dyDescent="0.3">
      <c r="A84" s="337" t="str">
        <f t="shared" si="5"/>
        <v>Bất động sản đầu tư</v>
      </c>
      <c r="B84" s="186" t="s">
        <v>327</v>
      </c>
      <c r="C84" s="188" t="s">
        <v>858</v>
      </c>
      <c r="D84" s="188" t="s">
        <v>858</v>
      </c>
      <c r="E84" s="279" t="s">
        <v>864</v>
      </c>
      <c r="F84" s="279" t="s">
        <v>863</v>
      </c>
      <c r="G84" s="280"/>
      <c r="H84" s="280"/>
      <c r="I84" s="280"/>
    </row>
    <row r="85" spans="1:9" x14ac:dyDescent="0.3">
      <c r="A85" s="337" t="str">
        <f t="shared" si="5"/>
        <v>Bất động sản đầu tư</v>
      </c>
      <c r="B85" s="186" t="s">
        <v>865</v>
      </c>
      <c r="C85" s="188" t="s">
        <v>859</v>
      </c>
      <c r="D85" s="188" t="s">
        <v>859</v>
      </c>
      <c r="E85" s="279"/>
      <c r="F85" s="279" t="s">
        <v>859</v>
      </c>
      <c r="G85" s="280"/>
      <c r="H85" s="280"/>
      <c r="I85" s="280"/>
    </row>
    <row r="86" spans="1:9" x14ac:dyDescent="0.3">
      <c r="A86" s="337" t="str">
        <f t="shared" si="5"/>
        <v>Bất động sản đầu tư</v>
      </c>
      <c r="B86" s="186"/>
      <c r="C86" s="280"/>
      <c r="D86" s="280"/>
      <c r="E86" s="280"/>
      <c r="F86" s="280"/>
      <c r="G86" s="280"/>
      <c r="H86" s="280"/>
      <c r="I86" s="280"/>
    </row>
    <row r="87" spans="1:9" s="277" customFormat="1" x14ac:dyDescent="0.3">
      <c r="A87" s="276" t="str">
        <f>BC_TinhHinh_TaiChinh!C68</f>
        <v>Chi phí xây dựng cơ bản dở dang</v>
      </c>
      <c r="B87" s="276"/>
      <c r="E87" s="278"/>
      <c r="F87" s="278"/>
      <c r="G87" s="278"/>
      <c r="H87" s="278"/>
      <c r="I87" s="278"/>
    </row>
    <row r="88" spans="1:9" x14ac:dyDescent="0.3">
      <c r="A88" s="337" t="str">
        <f>A87</f>
        <v>Chi phí xây dựng cơ bản dở dang</v>
      </c>
      <c r="B88" s="354"/>
      <c r="C88" s="354"/>
      <c r="D88" s="354"/>
      <c r="E88" s="280"/>
      <c r="F88" s="280"/>
      <c r="G88" s="280"/>
      <c r="H88" s="280"/>
      <c r="I88" s="280"/>
    </row>
    <row r="89" spans="1:9" x14ac:dyDescent="0.3">
      <c r="A89" s="337" t="str">
        <f t="shared" ref="A89:A96" si="12">A88</f>
        <v>Chi phí xây dựng cơ bản dở dang</v>
      </c>
      <c r="B89" s="354"/>
      <c r="C89" s="351"/>
      <c r="E89" s="280"/>
      <c r="F89" s="280"/>
    </row>
    <row r="90" spans="1:9" x14ac:dyDescent="0.3">
      <c r="A90" s="337" t="str">
        <f t="shared" si="12"/>
        <v>Chi phí xây dựng cơ bản dở dang</v>
      </c>
      <c r="B90" s="354"/>
      <c r="C90" s="351" t="s">
        <v>589</v>
      </c>
      <c r="E90" s="280"/>
      <c r="F90" s="280"/>
    </row>
    <row r="91" spans="1:9" x14ac:dyDescent="0.3">
      <c r="A91" s="337" t="str">
        <f t="shared" si="12"/>
        <v>Chi phí xây dựng cơ bản dở dang</v>
      </c>
      <c r="B91" s="354"/>
      <c r="C91" s="290"/>
      <c r="E91" s="280"/>
      <c r="F91" s="280"/>
    </row>
    <row r="92" spans="1:9" x14ac:dyDescent="0.3">
      <c r="A92" s="337" t="str">
        <f t="shared" si="12"/>
        <v>Chi phí xây dựng cơ bản dở dang</v>
      </c>
      <c r="B92" s="392" t="s">
        <v>998</v>
      </c>
      <c r="C92" s="205">
        <f>SUM(F92:F92)</f>
        <v>0</v>
      </c>
      <c r="D92" s="193" t="b">
        <f ca="1">C92=BC_TinhHinh_TaiChinh!G68</f>
        <v>1</v>
      </c>
      <c r="F92" s="280"/>
    </row>
    <row r="93" spans="1:9" x14ac:dyDescent="0.3">
      <c r="A93" s="337" t="str">
        <f t="shared" si="12"/>
        <v>Chi phí xây dựng cơ bản dở dang</v>
      </c>
      <c r="B93" s="352" t="s">
        <v>999</v>
      </c>
      <c r="C93" s="292">
        <f ca="1">BC_TinhHinh_TaiChinh!F68</f>
        <v>120000000000</v>
      </c>
      <c r="F93" s="280"/>
    </row>
    <row r="94" spans="1:9" ht="17.25" thickBot="1" x14ac:dyDescent="0.35">
      <c r="A94" s="337" t="str">
        <f t="shared" si="12"/>
        <v>Chi phí xây dựng cơ bản dở dang</v>
      </c>
      <c r="B94" s="352"/>
      <c r="C94" s="302"/>
      <c r="F94" s="280"/>
    </row>
    <row r="95" spans="1:9" ht="17.25" thickBot="1" x14ac:dyDescent="0.35">
      <c r="A95" s="337" t="str">
        <f t="shared" si="12"/>
        <v>Chi phí xây dựng cơ bản dở dang</v>
      </c>
      <c r="B95" s="392" t="s">
        <v>1000</v>
      </c>
      <c r="C95" s="302">
        <f ca="1">SUM(C92:C93)</f>
        <v>120000000000</v>
      </c>
      <c r="D95" s="193" t="b">
        <f ca="1">C95=BC_TinhHinh_TaiChinh!F68</f>
        <v>1</v>
      </c>
      <c r="E95" s="387">
        <f ca="1">BC_TinhHinh_TaiChinh!F99</f>
        <v>0</v>
      </c>
      <c r="F95" s="280"/>
    </row>
    <row r="96" spans="1:9" s="322" customFormat="1" x14ac:dyDescent="0.3">
      <c r="A96" s="337" t="str">
        <f t="shared" si="12"/>
        <v>Chi phí xây dựng cơ bản dở dang</v>
      </c>
      <c r="B96" s="321"/>
      <c r="C96" s="321" t="b">
        <f ca="1">C95=SUM(C92:C93)</f>
        <v>1</v>
      </c>
      <c r="E96" s="193"/>
      <c r="F96" s="280"/>
    </row>
    <row r="97" spans="1:11" s="322" customFormat="1" x14ac:dyDescent="0.3">
      <c r="A97" s="337"/>
      <c r="B97" s="321"/>
      <c r="C97" s="354"/>
      <c r="D97" s="280"/>
      <c r="E97" s="280"/>
      <c r="F97" s="280"/>
      <c r="G97" s="321"/>
      <c r="I97" s="193"/>
    </row>
    <row r="98" spans="1:11" s="322" customFormat="1" x14ac:dyDescent="0.3">
      <c r="A98" s="337"/>
      <c r="B98" s="321" t="s">
        <v>1005</v>
      </c>
      <c r="C98" s="354"/>
      <c r="D98" s="280"/>
      <c r="E98" s="280"/>
      <c r="F98" s="280"/>
      <c r="G98" s="321"/>
      <c r="I98" s="193"/>
    </row>
    <row r="99" spans="1:11" s="322" customFormat="1" x14ac:dyDescent="0.3">
      <c r="A99" s="337"/>
      <c r="B99" s="321"/>
      <c r="C99" s="354"/>
      <c r="D99" s="280"/>
      <c r="E99" s="280"/>
      <c r="F99" s="280"/>
      <c r="G99" s="321"/>
      <c r="I99" s="193"/>
    </row>
    <row r="100" spans="1:11" s="322" customFormat="1" x14ac:dyDescent="0.3">
      <c r="A100" s="337"/>
      <c r="B100" s="457"/>
      <c r="C100" s="398" t="s">
        <v>986</v>
      </c>
      <c r="D100" s="280"/>
      <c r="E100" s="280"/>
      <c r="F100" s="280"/>
      <c r="G100" s="321"/>
      <c r="I100" s="193"/>
    </row>
    <row r="101" spans="1:11" s="322" customFormat="1" x14ac:dyDescent="0.3">
      <c r="A101" s="337"/>
      <c r="B101" s="457"/>
      <c r="C101" s="399" t="s">
        <v>589</v>
      </c>
      <c r="D101" s="280"/>
      <c r="E101" s="280"/>
      <c r="F101" s="280"/>
      <c r="G101" s="321"/>
      <c r="I101" s="193"/>
    </row>
    <row r="102" spans="1:11" s="322" customFormat="1" x14ac:dyDescent="0.3">
      <c r="A102" s="337"/>
      <c r="B102" s="400"/>
      <c r="C102" s="401"/>
      <c r="D102" s="280"/>
      <c r="E102" s="280"/>
      <c r="F102" s="280"/>
      <c r="G102" s="321"/>
      <c r="I102" s="193"/>
    </row>
    <row r="103" spans="1:11" s="322" customFormat="1" x14ac:dyDescent="0.3">
      <c r="A103" s="337"/>
      <c r="B103" s="402" t="s">
        <v>1006</v>
      </c>
      <c r="C103" s="405">
        <f ca="1">C93</f>
        <v>120000000000</v>
      </c>
      <c r="D103" s="280"/>
      <c r="E103" s="280"/>
      <c r="F103" s="280"/>
      <c r="G103" s="321"/>
      <c r="I103" s="193"/>
    </row>
    <row r="104" spans="1:11" s="322" customFormat="1" ht="17.25" thickBot="1" x14ac:dyDescent="0.35">
      <c r="A104" s="337"/>
      <c r="B104" s="402"/>
      <c r="C104" s="403"/>
      <c r="D104" s="321"/>
      <c r="E104" s="321"/>
      <c r="F104" s="321"/>
      <c r="G104" s="321"/>
      <c r="I104" s="193"/>
    </row>
    <row r="105" spans="1:11" s="322" customFormat="1" ht="17.25" thickBot="1" x14ac:dyDescent="0.35">
      <c r="A105" s="337"/>
      <c r="B105" s="404"/>
      <c r="C105" s="406">
        <f ca="1">SUM(C103:C104)</f>
        <v>120000000000</v>
      </c>
      <c r="D105" s="321"/>
      <c r="E105" s="321"/>
      <c r="F105" s="321"/>
      <c r="G105" s="321"/>
      <c r="I105" s="193"/>
    </row>
    <row r="106" spans="1:11" s="322" customFormat="1" ht="17.25" thickTop="1" x14ac:dyDescent="0.3">
      <c r="A106" s="337"/>
      <c r="B106" s="321"/>
      <c r="C106" s="321" t="b">
        <f ca="1">C105=C95</f>
        <v>1</v>
      </c>
      <c r="D106" s="321"/>
      <c r="E106" s="321"/>
      <c r="F106" s="321"/>
      <c r="G106" s="321"/>
      <c r="I106" s="193"/>
    </row>
    <row r="107" spans="1:11" s="322" customFormat="1" x14ac:dyDescent="0.3">
      <c r="A107" s="337"/>
      <c r="B107" s="321"/>
      <c r="C107" s="321"/>
      <c r="D107" s="321"/>
      <c r="E107" s="321"/>
      <c r="F107" s="321"/>
      <c r="G107" s="321"/>
      <c r="I107" s="193"/>
    </row>
    <row r="108" spans="1:11" s="322" customFormat="1" x14ac:dyDescent="0.3">
      <c r="A108" s="337"/>
      <c r="B108" s="321" t="s">
        <v>1007</v>
      </c>
      <c r="C108" s="321"/>
      <c r="D108" s="321"/>
      <c r="E108" s="321"/>
      <c r="F108" s="321"/>
      <c r="G108" s="321"/>
      <c r="I108" s="193"/>
    </row>
    <row r="109" spans="1:11" s="322" customFormat="1" x14ac:dyDescent="0.3">
      <c r="A109" s="337"/>
      <c r="B109" s="321" t="s">
        <v>1008</v>
      </c>
      <c r="C109" s="321"/>
      <c r="D109" s="321"/>
      <c r="E109" s="321"/>
      <c r="F109" s="321"/>
      <c r="G109" s="321"/>
      <c r="I109" s="193"/>
    </row>
    <row r="110" spans="1:11" s="322" customFormat="1" x14ac:dyDescent="0.3">
      <c r="A110" s="337"/>
      <c r="B110" s="321"/>
      <c r="C110" s="321"/>
      <c r="D110" s="321"/>
      <c r="E110" s="321"/>
      <c r="F110" s="321"/>
      <c r="G110" s="321"/>
      <c r="I110" s="193"/>
    </row>
    <row r="111" spans="1:11" s="277" customFormat="1" x14ac:dyDescent="0.3">
      <c r="A111" s="276" t="str">
        <f>BC_TinhHinh_TaiChinh!C92</f>
        <v>Phải trả người bán ngắn hạn</v>
      </c>
      <c r="B111" s="276"/>
      <c r="E111" s="278"/>
      <c r="F111" s="278"/>
      <c r="G111" s="278"/>
      <c r="H111" s="278"/>
      <c r="I111" s="278"/>
      <c r="J111" s="278"/>
      <c r="K111" s="278"/>
    </row>
    <row r="112" spans="1:11" s="288" customFormat="1" x14ac:dyDescent="0.3">
      <c r="A112" s="287"/>
      <c r="B112" s="287"/>
      <c r="E112" s="289"/>
      <c r="F112" s="289"/>
      <c r="G112" s="289"/>
      <c r="H112" s="289"/>
      <c r="I112" s="289"/>
      <c r="J112" s="289"/>
      <c r="K112" s="289"/>
    </row>
    <row r="113" spans="1:11" s="288" customFormat="1" x14ac:dyDescent="0.3">
      <c r="A113" s="287"/>
      <c r="B113" s="287" t="s">
        <v>1012</v>
      </c>
      <c r="E113" s="289"/>
      <c r="F113" s="289"/>
      <c r="G113" s="289"/>
      <c r="H113" s="289"/>
      <c r="I113" s="289"/>
      <c r="J113" s="289"/>
      <c r="K113" s="289"/>
    </row>
    <row r="114" spans="1:11" s="288" customFormat="1" x14ac:dyDescent="0.3">
      <c r="A114" s="287"/>
      <c r="B114" s="287"/>
      <c r="E114" s="289"/>
      <c r="F114" s="289"/>
      <c r="G114" s="289"/>
      <c r="H114" s="289"/>
      <c r="I114" s="289"/>
      <c r="J114" s="289"/>
      <c r="K114" s="289"/>
    </row>
    <row r="115" spans="1:11" x14ac:dyDescent="0.3">
      <c r="A115" s="337" t="str">
        <f>A111</f>
        <v>Phải trả người bán ngắn hạn</v>
      </c>
      <c r="B115" s="352"/>
      <c r="C115" s="347" t="str">
        <f>C34</f>
        <v>31/12/2020</v>
      </c>
      <c r="D115" s="347" t="str">
        <f>C115</f>
        <v>31/12/2020</v>
      </c>
      <c r="E115" s="407" t="s">
        <v>987</v>
      </c>
      <c r="F115" s="347" t="str">
        <f>E115</f>
        <v>1/1/2020</v>
      </c>
      <c r="G115" s="280"/>
      <c r="H115"/>
      <c r="I115"/>
      <c r="J115"/>
      <c r="K115"/>
    </row>
    <row r="116" spans="1:11" x14ac:dyDescent="0.3">
      <c r="A116" s="337"/>
      <c r="B116" s="352"/>
      <c r="C116" s="409" t="s">
        <v>1014</v>
      </c>
      <c r="D116" s="347" t="s">
        <v>1015</v>
      </c>
      <c r="E116" s="407" t="str">
        <f>C116</f>
        <v>Giá gốc</v>
      </c>
      <c r="F116" s="407" t="str">
        <f>D116</f>
        <v>Số có khả năng trả nợ</v>
      </c>
      <c r="G116" s="280"/>
      <c r="H116"/>
      <c r="I116"/>
      <c r="J116"/>
      <c r="K116"/>
    </row>
    <row r="117" spans="1:11" x14ac:dyDescent="0.3">
      <c r="A117" s="337" t="str">
        <f>A115</f>
        <v>Phải trả người bán ngắn hạn</v>
      </c>
      <c r="B117" s="352"/>
      <c r="C117" s="347" t="str">
        <f>C35</f>
        <v>VND</v>
      </c>
      <c r="D117" s="347" t="str">
        <f>D35</f>
        <v>VND</v>
      </c>
      <c r="E117" s="347" t="str">
        <f>D117</f>
        <v>VND</v>
      </c>
      <c r="F117" s="347" t="str">
        <f>E117</f>
        <v>VND</v>
      </c>
      <c r="G117" s="280"/>
      <c r="H117" s="280"/>
      <c r="I117" s="280"/>
    </row>
    <row r="118" spans="1:11" x14ac:dyDescent="0.3">
      <c r="A118" s="337" t="str">
        <f t="shared" ref="A118:A121" si="13">A117</f>
        <v>Phải trả người bán ngắn hạn</v>
      </c>
      <c r="B118" s="352" t="s">
        <v>1011</v>
      </c>
      <c r="C118" s="334">
        <f ca="1">BC_TinhHinh_TaiChinh!F92</f>
        <v>62000000000</v>
      </c>
      <c r="D118" s="334">
        <f ca="1">C118</f>
        <v>62000000000</v>
      </c>
      <c r="E118" s="334">
        <v>0</v>
      </c>
      <c r="F118" s="334">
        <f>BC_TinhHinh_TaiChinh!I92</f>
        <v>0</v>
      </c>
      <c r="G118" s="280"/>
      <c r="H118" s="280"/>
      <c r="I118" s="280"/>
    </row>
    <row r="119" spans="1:11" ht="17.25" thickBot="1" x14ac:dyDescent="0.35">
      <c r="A119" s="337" t="str">
        <f t="shared" si="13"/>
        <v>Phải trả người bán ngắn hạn</v>
      </c>
      <c r="B119" s="352"/>
      <c r="C119" s="335">
        <f ca="1">C118</f>
        <v>62000000000</v>
      </c>
      <c r="D119" s="335">
        <f ca="1">D118</f>
        <v>62000000000</v>
      </c>
      <c r="E119" s="335">
        <f>E118</f>
        <v>0</v>
      </c>
      <c r="F119" s="335">
        <f>F118</f>
        <v>0</v>
      </c>
      <c r="G119" s="280"/>
      <c r="H119" s="280"/>
      <c r="I119" s="280"/>
    </row>
    <row r="120" spans="1:11" ht="17.25" thickTop="1" x14ac:dyDescent="0.3">
      <c r="A120" s="337" t="str">
        <f t="shared" si="13"/>
        <v>Phải trả người bán ngắn hạn</v>
      </c>
      <c r="B120" s="352"/>
      <c r="C120" s="336" t="b">
        <f ca="1">C119=C118</f>
        <v>1</v>
      </c>
      <c r="D120" s="336" t="b">
        <f ca="1">D119=D118</f>
        <v>1</v>
      </c>
      <c r="E120" s="336" t="b">
        <f>E119=E118</f>
        <v>1</v>
      </c>
      <c r="F120" s="336" t="b">
        <f>F119=F118</f>
        <v>1</v>
      </c>
      <c r="G120" s="280"/>
      <c r="H120" s="280"/>
      <c r="I120" s="280"/>
    </row>
    <row r="121" spans="1:11" x14ac:dyDescent="0.3">
      <c r="A121" s="337" t="str">
        <f t="shared" si="13"/>
        <v>Phải trả người bán ngắn hạn</v>
      </c>
      <c r="B121" s="352"/>
      <c r="C121" s="336" t="b">
        <f ca="1">C119=BC_TinhHinh_TaiChinh!F92</f>
        <v>1</v>
      </c>
      <c r="D121" s="336" t="b">
        <f ca="1">C121</f>
        <v>1</v>
      </c>
      <c r="E121" s="336" t="b">
        <f ca="1">E119=BC_TinhHinh_TaiChinh!G92</f>
        <v>1</v>
      </c>
      <c r="F121" s="336" t="b">
        <f ca="1">E121</f>
        <v>1</v>
      </c>
      <c r="G121" s="280"/>
      <c r="H121" s="280"/>
      <c r="I121" s="280"/>
    </row>
    <row r="122" spans="1:11" x14ac:dyDescent="0.3">
      <c r="A122" s="337" t="str">
        <f>A119</f>
        <v>Phải trả người bán ngắn hạn</v>
      </c>
      <c r="B122" s="352"/>
      <c r="C122" s="280"/>
      <c r="D122" s="280"/>
      <c r="E122" s="280"/>
      <c r="F122" s="280"/>
      <c r="G122" s="280"/>
      <c r="H122" s="280"/>
      <c r="I122" s="280"/>
    </row>
    <row r="123" spans="1:11" s="288" customFormat="1" x14ac:dyDescent="0.3">
      <c r="A123" s="287"/>
      <c r="B123" s="287" t="s">
        <v>1013</v>
      </c>
      <c r="E123" s="289"/>
      <c r="F123" s="289"/>
      <c r="G123" s="289"/>
      <c r="H123" s="289"/>
      <c r="I123" s="289"/>
      <c r="J123" s="289"/>
      <c r="K123" s="289"/>
    </row>
    <row r="124" spans="1:11" s="288" customFormat="1" x14ac:dyDescent="0.3">
      <c r="A124" s="287"/>
      <c r="B124" s="287"/>
      <c r="E124" s="289"/>
      <c r="F124" s="289"/>
      <c r="G124" s="289"/>
      <c r="H124" s="289"/>
      <c r="I124" s="289"/>
      <c r="J124" s="289"/>
      <c r="K124" s="289"/>
    </row>
    <row r="125" spans="1:11" x14ac:dyDescent="0.3">
      <c r="A125" s="337" t="str">
        <f>A121</f>
        <v>Phải trả người bán ngắn hạn</v>
      </c>
      <c r="B125" s="352"/>
      <c r="C125" s="347" t="str">
        <f>C115</f>
        <v>31/12/2020</v>
      </c>
      <c r="D125" s="347" t="str">
        <f>C125</f>
        <v>31/12/2020</v>
      </c>
      <c r="E125" s="407" t="s">
        <v>987</v>
      </c>
      <c r="F125" s="347" t="str">
        <f>E125</f>
        <v>1/1/2020</v>
      </c>
      <c r="G125" s="280"/>
      <c r="H125"/>
      <c r="I125"/>
      <c r="J125"/>
      <c r="K125"/>
    </row>
    <row r="126" spans="1:11" x14ac:dyDescent="0.3">
      <c r="A126" s="337"/>
      <c r="B126" s="352"/>
      <c r="C126" s="409" t="str">
        <f t="shared" ref="C126:F126" si="14">C116</f>
        <v>Giá gốc</v>
      </c>
      <c r="D126" s="347" t="str">
        <f t="shared" si="14"/>
        <v>Số có khả năng trả nợ</v>
      </c>
      <c r="E126" s="407" t="str">
        <f t="shared" si="14"/>
        <v>Giá gốc</v>
      </c>
      <c r="F126" s="407" t="str">
        <f t="shared" si="14"/>
        <v>Số có khả năng trả nợ</v>
      </c>
      <c r="G126" s="280"/>
      <c r="H126"/>
      <c r="I126"/>
      <c r="J126"/>
      <c r="K126"/>
    </row>
    <row r="127" spans="1:11" x14ac:dyDescent="0.3">
      <c r="A127" s="337" t="str">
        <f>A125</f>
        <v>Phải trả người bán ngắn hạn</v>
      </c>
      <c r="B127" s="352"/>
      <c r="C127" s="347" t="str">
        <f t="shared" ref="C127:F128" si="15">C117</f>
        <v>VND</v>
      </c>
      <c r="D127" s="347" t="str">
        <f t="shared" si="15"/>
        <v>VND</v>
      </c>
      <c r="E127" s="347" t="str">
        <f t="shared" si="15"/>
        <v>VND</v>
      </c>
      <c r="F127" s="347" t="str">
        <f t="shared" si="15"/>
        <v>VND</v>
      </c>
      <c r="G127" s="280"/>
      <c r="H127" s="280"/>
      <c r="I127" s="280"/>
    </row>
    <row r="128" spans="1:11" x14ac:dyDescent="0.3">
      <c r="A128" s="337" t="str">
        <f t="shared" ref="A128:A132" si="16">A127</f>
        <v>Phải trả người bán ngắn hạn</v>
      </c>
      <c r="B128" s="352" t="s">
        <v>1016</v>
      </c>
      <c r="C128" s="334">
        <f t="shared" ca="1" si="15"/>
        <v>62000000000</v>
      </c>
      <c r="D128" s="334">
        <f t="shared" ca="1" si="15"/>
        <v>62000000000</v>
      </c>
      <c r="E128" s="334">
        <f t="shared" si="15"/>
        <v>0</v>
      </c>
      <c r="F128" s="334">
        <f t="shared" si="15"/>
        <v>0</v>
      </c>
      <c r="G128" s="280"/>
      <c r="H128" s="280"/>
      <c r="I128" s="280"/>
    </row>
    <row r="129" spans="1:11" x14ac:dyDescent="0.3">
      <c r="A129" s="337"/>
      <c r="B129" s="352" t="s">
        <v>1017</v>
      </c>
      <c r="C129" s="334">
        <v>0</v>
      </c>
      <c r="D129" s="334">
        <v>0</v>
      </c>
      <c r="E129" s="334">
        <v>0</v>
      </c>
      <c r="F129" s="334">
        <v>0</v>
      </c>
      <c r="G129" s="280"/>
      <c r="H129" s="280"/>
      <c r="I129" s="280"/>
    </row>
    <row r="130" spans="1:11" ht="17.25" thickBot="1" x14ac:dyDescent="0.35">
      <c r="A130" s="337" t="str">
        <f>A128</f>
        <v>Phải trả người bán ngắn hạn</v>
      </c>
      <c r="B130" s="352"/>
      <c r="C130" s="335">
        <f ca="1">SUM(C128:C129)</f>
        <v>62000000000</v>
      </c>
      <c r="D130" s="335">
        <f t="shared" ref="D130:F130" ca="1" si="17">SUM(D128:D129)</f>
        <v>62000000000</v>
      </c>
      <c r="E130" s="335">
        <f t="shared" si="17"/>
        <v>0</v>
      </c>
      <c r="F130" s="335">
        <f t="shared" si="17"/>
        <v>0</v>
      </c>
      <c r="G130" s="280"/>
      <c r="H130" s="280"/>
      <c r="I130" s="280"/>
    </row>
    <row r="131" spans="1:11" ht="17.25" thickTop="1" x14ac:dyDescent="0.3">
      <c r="A131" s="337" t="str">
        <f t="shared" si="16"/>
        <v>Phải trả người bán ngắn hạn</v>
      </c>
      <c r="B131" s="352"/>
      <c r="C131" s="336" t="b">
        <f ca="1">C130=C128</f>
        <v>1</v>
      </c>
      <c r="D131" s="336" t="b">
        <f ca="1">D130=D128</f>
        <v>1</v>
      </c>
      <c r="E131" s="336" t="b">
        <f>E130=E128</f>
        <v>1</v>
      </c>
      <c r="F131" s="336" t="b">
        <f>F130=F128</f>
        <v>1</v>
      </c>
      <c r="G131" s="280"/>
      <c r="H131" s="280"/>
      <c r="I131" s="280"/>
    </row>
    <row r="132" spans="1:11" x14ac:dyDescent="0.3">
      <c r="A132" s="337" t="str">
        <f t="shared" si="16"/>
        <v>Phải trả người bán ngắn hạn</v>
      </c>
      <c r="B132" s="352"/>
      <c r="C132" s="336" t="b">
        <f ca="1">C121</f>
        <v>1</v>
      </c>
      <c r="D132" s="336" t="b">
        <f t="shared" ref="D132:F132" ca="1" si="18">D121</f>
        <v>1</v>
      </c>
      <c r="E132" s="336" t="b">
        <f t="shared" ca="1" si="18"/>
        <v>1</v>
      </c>
      <c r="F132" s="336" t="b">
        <f t="shared" ca="1" si="18"/>
        <v>1</v>
      </c>
      <c r="G132" s="280"/>
      <c r="H132" s="280"/>
      <c r="I132" s="280"/>
    </row>
    <row r="133" spans="1:11" x14ac:dyDescent="0.3">
      <c r="A133" s="337"/>
      <c r="B133" s="352"/>
      <c r="C133" s="280"/>
      <c r="D133" s="280"/>
      <c r="E133" s="280"/>
      <c r="F133" s="280"/>
      <c r="G133" s="280"/>
      <c r="H133" s="280"/>
      <c r="I133" s="280"/>
    </row>
    <row r="134" spans="1:11" s="277" customFormat="1" x14ac:dyDescent="0.3">
      <c r="A134" s="276" t="str">
        <f>BC_TinhHinh_TaiChinh!C96</f>
        <v>Chi phí phải trả ngắn hạn</v>
      </c>
      <c r="B134" s="276"/>
      <c r="E134" s="278"/>
      <c r="F134" s="278"/>
      <c r="G134" s="278"/>
      <c r="H134" s="278"/>
      <c r="I134" s="278"/>
      <c r="J134" s="278"/>
      <c r="K134" s="278"/>
    </row>
    <row r="135" spans="1:11" x14ac:dyDescent="0.3">
      <c r="A135" s="337" t="str">
        <f>A134</f>
        <v>Chi phí phải trả ngắn hạn</v>
      </c>
      <c r="B135" s="352"/>
      <c r="C135" s="347" t="str">
        <f>C15</f>
        <v>31/12/2020</v>
      </c>
      <c r="D135" s="347" t="str">
        <f>D15</f>
        <v>1/1/2020</v>
      </c>
      <c r="E135" s="280"/>
      <c r="F135" s="280"/>
      <c r="G135" s="280"/>
      <c r="H135"/>
      <c r="I135"/>
      <c r="J135"/>
      <c r="K135"/>
    </row>
    <row r="136" spans="1:11" x14ac:dyDescent="0.3">
      <c r="A136" s="337" t="str">
        <f t="shared" ref="A136:A143" si="19">A135</f>
        <v>Chi phí phải trả ngắn hạn</v>
      </c>
      <c r="B136" s="352"/>
      <c r="C136" s="347" t="str">
        <f>C16</f>
        <v>VND</v>
      </c>
      <c r="D136" s="347" t="str">
        <f>D16</f>
        <v>VND</v>
      </c>
      <c r="E136" s="280"/>
      <c r="F136" s="280"/>
      <c r="G136" s="280"/>
      <c r="H136" s="280"/>
      <c r="I136" s="280"/>
    </row>
    <row r="137" spans="1:11" x14ac:dyDescent="0.3">
      <c r="A137" s="337" t="str">
        <f t="shared" si="19"/>
        <v>Chi phí phải trả ngắn hạn</v>
      </c>
      <c r="B137" s="352" t="s">
        <v>1113</v>
      </c>
      <c r="C137" s="334">
        <f ca="1">BC_TinhHinh_TaiChinh!F96-C138</f>
        <v>7700000000</v>
      </c>
      <c r="D137" s="334">
        <v>0</v>
      </c>
      <c r="E137" s="280"/>
      <c r="F137" s="280"/>
      <c r="G137" s="280"/>
      <c r="H137" s="280"/>
      <c r="I137" s="280"/>
    </row>
    <row r="138" spans="1:11" x14ac:dyDescent="0.3">
      <c r="A138" s="337"/>
      <c r="B138" s="443" t="s">
        <v>1099</v>
      </c>
      <c r="C138" s="334">
        <v>300000000</v>
      </c>
      <c r="D138" s="334"/>
      <c r="E138" s="280"/>
      <c r="F138" s="280"/>
      <c r="G138" s="280"/>
      <c r="H138" s="280"/>
      <c r="I138" s="280"/>
    </row>
    <row r="139" spans="1:11" x14ac:dyDescent="0.3">
      <c r="A139" s="337"/>
      <c r="B139" s="352" t="s">
        <v>1019</v>
      </c>
      <c r="C139" s="334">
        <v>0</v>
      </c>
      <c r="D139" s="334">
        <v>1314471822</v>
      </c>
      <c r="E139" s="280"/>
      <c r="F139" s="280"/>
      <c r="G139" s="280"/>
      <c r="H139" s="280"/>
      <c r="I139" s="280"/>
    </row>
    <row r="140" spans="1:11" x14ac:dyDescent="0.3">
      <c r="A140" s="337"/>
      <c r="B140" s="352" t="s">
        <v>1018</v>
      </c>
      <c r="C140" s="334"/>
      <c r="D140" s="334">
        <f ca="1">BC_TinhHinh_TaiChinh!G96-D139</f>
        <v>369295825</v>
      </c>
      <c r="E140" s="280"/>
      <c r="F140" s="280"/>
      <c r="G140" s="280"/>
      <c r="H140" s="280"/>
      <c r="I140" s="280"/>
    </row>
    <row r="141" spans="1:11" ht="17.25" thickBot="1" x14ac:dyDescent="0.35">
      <c r="A141" s="337" t="str">
        <f>A137</f>
        <v>Chi phí phải trả ngắn hạn</v>
      </c>
      <c r="B141" s="352"/>
      <c r="C141" s="335">
        <f ca="1">SUM(C137:C140)</f>
        <v>8000000000</v>
      </c>
      <c r="D141" s="335">
        <f ca="1">SUM(D137:D140)</f>
        <v>1683767647</v>
      </c>
      <c r="E141" s="280"/>
      <c r="F141" s="280"/>
      <c r="G141" s="280"/>
      <c r="H141" s="280"/>
      <c r="I141" s="280"/>
    </row>
    <row r="142" spans="1:11" ht="17.25" thickTop="1" x14ac:dyDescent="0.3">
      <c r="A142" s="337" t="str">
        <f t="shared" si="19"/>
        <v>Chi phí phải trả ngắn hạn</v>
      </c>
      <c r="B142" s="352"/>
      <c r="C142" s="336" t="b">
        <f ca="1">C141=SUM(C137:C140)</f>
        <v>1</v>
      </c>
      <c r="D142" s="336" t="b">
        <f ca="1">D141=SUM(D137:D140)</f>
        <v>1</v>
      </c>
      <c r="E142" s="280"/>
      <c r="F142" s="280"/>
      <c r="G142" s="280"/>
      <c r="H142" s="280"/>
      <c r="I142" s="280"/>
    </row>
    <row r="143" spans="1:11" x14ac:dyDescent="0.3">
      <c r="A143" s="337" t="str">
        <f t="shared" si="19"/>
        <v>Chi phí phải trả ngắn hạn</v>
      </c>
      <c r="B143" s="352"/>
      <c r="C143" s="336" t="b">
        <f ca="1">C141=BC_TinhHinh_TaiChinh!F96</f>
        <v>1</v>
      </c>
      <c r="D143" s="336" t="b">
        <f ca="1">D141=BC_TinhHinh_TaiChinh!G96</f>
        <v>1</v>
      </c>
      <c r="E143" s="280"/>
      <c r="F143" s="280"/>
      <c r="G143" s="280"/>
      <c r="H143" s="280"/>
      <c r="I143" s="280"/>
    </row>
    <row r="144" spans="1:11" x14ac:dyDescent="0.3">
      <c r="A144" s="337" t="str">
        <f>A141</f>
        <v>Chi phí phải trả ngắn hạn</v>
      </c>
      <c r="B144" s="352"/>
      <c r="C144" s="280"/>
      <c r="D144" s="280"/>
      <c r="E144" s="280"/>
      <c r="F144" s="280"/>
      <c r="G144" s="280"/>
      <c r="H144" s="280"/>
      <c r="I144" s="280"/>
    </row>
    <row r="145" spans="1:12" x14ac:dyDescent="0.3">
      <c r="A145" s="337"/>
      <c r="B145" s="352"/>
      <c r="C145" s="280"/>
      <c r="D145" s="280"/>
      <c r="E145" s="280"/>
      <c r="F145" s="280"/>
      <c r="G145" s="280"/>
      <c r="H145" s="280"/>
      <c r="I145" s="280"/>
    </row>
    <row r="146" spans="1:12" x14ac:dyDescent="0.3">
      <c r="A146" s="337"/>
      <c r="B146" s="352"/>
      <c r="C146" s="280"/>
      <c r="D146" s="280"/>
      <c r="E146" s="280"/>
      <c r="F146" s="280"/>
      <c r="G146" s="280"/>
      <c r="H146" s="280"/>
      <c r="I146" s="280"/>
    </row>
    <row r="147" spans="1:12" s="277" customFormat="1" x14ac:dyDescent="0.3">
      <c r="A147" s="276" t="s">
        <v>1026</v>
      </c>
      <c r="B147" s="276"/>
      <c r="E147" s="278"/>
      <c r="F147" s="278"/>
      <c r="G147" s="278"/>
      <c r="H147" s="278"/>
      <c r="I147" s="278"/>
    </row>
    <row r="148" spans="1:12" s="288" customFormat="1" x14ac:dyDescent="0.3">
      <c r="A148" s="287"/>
      <c r="B148" s="287" t="s">
        <v>1033</v>
      </c>
      <c r="E148" s="289"/>
      <c r="F148" s="289"/>
      <c r="G148" s="289"/>
      <c r="H148" s="289"/>
      <c r="I148" s="289"/>
    </row>
    <row r="149" spans="1:12" ht="33" x14ac:dyDescent="0.3">
      <c r="A149" s="337" t="str">
        <f>A147</f>
        <v>Vay, trái phiếu phát hành và nợ thuê tài chính</v>
      </c>
      <c r="B149" s="354"/>
      <c r="C149" s="388" t="s">
        <v>987</v>
      </c>
      <c r="D149" s="388" t="s">
        <v>987</v>
      </c>
      <c r="E149" s="390" t="s">
        <v>1028</v>
      </c>
      <c r="F149" s="390" t="s">
        <v>1028</v>
      </c>
      <c r="G149" s="351" t="s">
        <v>986</v>
      </c>
      <c r="H149" s="351" t="s">
        <v>986</v>
      </c>
    </row>
    <row r="150" spans="1:12" s="414" customFormat="1" ht="33" x14ac:dyDescent="0.3">
      <c r="A150" s="410"/>
      <c r="B150" s="411"/>
      <c r="C150" s="412" t="s">
        <v>1027</v>
      </c>
      <c r="D150" s="412" t="s">
        <v>1015</v>
      </c>
      <c r="E150" s="390" t="s">
        <v>1029</v>
      </c>
      <c r="F150" s="390" t="s">
        <v>1030</v>
      </c>
      <c r="G150" s="413" t="str">
        <f>C150</f>
        <v>Giá trị ghi sổ</v>
      </c>
      <c r="H150" s="413" t="str">
        <f>D150</f>
        <v>Số có khả năng trả nợ</v>
      </c>
    </row>
    <row r="151" spans="1:12" x14ac:dyDescent="0.3">
      <c r="A151" s="337" t="str">
        <f>A149</f>
        <v>Vay, trái phiếu phát hành và nợ thuê tài chính</v>
      </c>
      <c r="B151" s="354"/>
      <c r="C151" s="351" t="s">
        <v>589</v>
      </c>
      <c r="D151" s="351" t="s">
        <v>589</v>
      </c>
      <c r="E151" s="351" t="s">
        <v>589</v>
      </c>
      <c r="F151" s="351" t="s">
        <v>589</v>
      </c>
      <c r="G151" s="351" t="s">
        <v>589</v>
      </c>
    </row>
    <row r="152" spans="1:12" x14ac:dyDescent="0.3">
      <c r="A152" s="337" t="str">
        <f t="shared" ref="A152:A157" si="20">A151</f>
        <v>Vay, trái phiếu phát hành và nợ thuê tài chính</v>
      </c>
      <c r="B152" s="352"/>
      <c r="C152" s="312"/>
      <c r="D152" s="312"/>
      <c r="E152" s="312"/>
      <c r="F152" s="312"/>
      <c r="G152" s="312"/>
    </row>
    <row r="153" spans="1:12" x14ac:dyDescent="0.3">
      <c r="A153" s="337" t="str">
        <f t="shared" si="20"/>
        <v>Vay, trái phiếu phát hành và nợ thuê tài chính</v>
      </c>
      <c r="B153" s="352" t="s">
        <v>1031</v>
      </c>
      <c r="C153" s="312">
        <v>0</v>
      </c>
      <c r="D153" s="312">
        <v>0</v>
      </c>
      <c r="E153" s="312">
        <f>-TB_Convert!M43</f>
        <v>15000000000</v>
      </c>
      <c r="F153" s="312"/>
      <c r="G153" s="312">
        <f>D153+E153+F153</f>
        <v>15000000000</v>
      </c>
      <c r="H153" s="294">
        <f>G153</f>
        <v>15000000000</v>
      </c>
      <c r="J153" s="193" t="b">
        <f>G153=SUM(D153:F153)</f>
        <v>1</v>
      </c>
      <c r="L153" s="294"/>
    </row>
    <row r="154" spans="1:12" x14ac:dyDescent="0.3">
      <c r="A154" s="337" t="str">
        <f t="shared" si="20"/>
        <v>Vay, trái phiếu phát hành và nợ thuê tài chính</v>
      </c>
      <c r="B154" s="352" t="s">
        <v>1032</v>
      </c>
      <c r="C154" s="292"/>
      <c r="D154" s="292"/>
      <c r="E154" s="292">
        <f>-TB_Convert!M41</f>
        <v>20000000000</v>
      </c>
      <c r="F154" s="292"/>
      <c r="G154" s="312">
        <f>D154+E154+F154</f>
        <v>20000000000</v>
      </c>
      <c r="H154" s="294">
        <f>G154</f>
        <v>20000000000</v>
      </c>
      <c r="J154" s="193" t="b">
        <f>G154=SUM(D154:F154)</f>
        <v>1</v>
      </c>
    </row>
    <row r="155" spans="1:12" ht="17.25" thickBot="1" x14ac:dyDescent="0.35">
      <c r="A155" s="337" t="str">
        <f t="shared" si="20"/>
        <v>Vay, trái phiếu phát hành và nợ thuê tài chính</v>
      </c>
      <c r="B155" s="354"/>
      <c r="C155" s="389">
        <f t="shared" ref="C155" si="21">SUM(C153:C154)</f>
        <v>0</v>
      </c>
      <c r="D155" s="389">
        <f t="shared" ref="D155:E155" si="22">SUM(D153:D154)</f>
        <v>0</v>
      </c>
      <c r="E155" s="389">
        <f t="shared" si="22"/>
        <v>35000000000</v>
      </c>
      <c r="F155" s="389">
        <f>SUM(F153:F154)</f>
        <v>0</v>
      </c>
      <c r="G155" s="389">
        <f>SUM(G153:G154)</f>
        <v>35000000000</v>
      </c>
      <c r="H155" s="389">
        <f>SUM(H153:H154)</f>
        <v>35000000000</v>
      </c>
      <c r="J155" s="193" t="b">
        <f>G155=SUM(D155:F155)</f>
        <v>1</v>
      </c>
      <c r="L155" s="294"/>
    </row>
    <row r="156" spans="1:12" ht="17.25" thickTop="1" x14ac:dyDescent="0.3">
      <c r="A156" s="337" t="str">
        <f t="shared" si="20"/>
        <v>Vay, trái phiếu phát hành và nợ thuê tài chính</v>
      </c>
      <c r="B156" s="352"/>
      <c r="C156" s="280" t="b">
        <f t="shared" ref="C156" si="23">C155=SUM(C153:C154)</f>
        <v>1</v>
      </c>
      <c r="D156" s="280" t="b">
        <f t="shared" ref="D156:E156" si="24">D155=SUM(D153:D154)</f>
        <v>1</v>
      </c>
      <c r="E156" s="280" t="b">
        <f t="shared" si="24"/>
        <v>1</v>
      </c>
      <c r="F156" s="280" t="b">
        <f>F155=SUM(F153:F154)</f>
        <v>1</v>
      </c>
      <c r="G156" s="280" t="b">
        <f>G155=SUM(G153:G154)</f>
        <v>1</v>
      </c>
      <c r="H156" s="280" t="b">
        <f>H155=SUM(H153:H154)</f>
        <v>1</v>
      </c>
    </row>
    <row r="157" spans="1:12" x14ac:dyDescent="0.3">
      <c r="A157" s="337" t="str">
        <f t="shared" si="20"/>
        <v>Vay, trái phiếu phát hành và nợ thuê tài chính</v>
      </c>
      <c r="B157" s="352"/>
      <c r="C157" s="280" t="b">
        <f ca="1">C155=BC_TinhHinh_TaiChinh!G101</f>
        <v>1</v>
      </c>
      <c r="D157" s="280"/>
      <c r="E157" s="280"/>
      <c r="F157" s="280"/>
      <c r="G157" s="280"/>
      <c r="H157" s="280" t="b">
        <f ca="1">H155=BC_TinhHinh_TaiChinh!F101</f>
        <v>1</v>
      </c>
      <c r="I157" s="280"/>
    </row>
    <row r="158" spans="1:12" x14ac:dyDescent="0.3">
      <c r="A158" s="337"/>
      <c r="B158" s="352"/>
      <c r="C158" s="280"/>
      <c r="D158" s="280"/>
      <c r="E158" s="280"/>
      <c r="F158" s="280"/>
      <c r="G158" s="280"/>
      <c r="H158" s="280"/>
      <c r="I158" s="280"/>
    </row>
    <row r="159" spans="1:12" x14ac:dyDescent="0.3">
      <c r="A159" s="337"/>
      <c r="B159" s="352" t="s">
        <v>1034</v>
      </c>
      <c r="C159" s="280"/>
      <c r="D159" s="280"/>
      <c r="E159" s="280"/>
      <c r="F159" s="280"/>
      <c r="G159" s="280"/>
      <c r="H159" s="280"/>
      <c r="I159" s="280"/>
    </row>
    <row r="160" spans="1:12" x14ac:dyDescent="0.3">
      <c r="A160" s="337"/>
      <c r="B160" s="458"/>
      <c r="C160" s="459" t="s">
        <v>1035</v>
      </c>
      <c r="D160" s="459" t="s">
        <v>1036</v>
      </c>
      <c r="E160" s="394" t="s">
        <v>986</v>
      </c>
      <c r="F160" s="415">
        <v>43831</v>
      </c>
      <c r="G160" s="280"/>
      <c r="H160" s="280"/>
      <c r="I160" s="280"/>
    </row>
    <row r="161" spans="1:12" x14ac:dyDescent="0.3">
      <c r="A161" s="337"/>
      <c r="B161" s="458"/>
      <c r="C161" s="459"/>
      <c r="D161" s="459"/>
      <c r="E161" s="395" t="s">
        <v>589</v>
      </c>
      <c r="F161" s="395" t="s">
        <v>589</v>
      </c>
      <c r="G161" s="280"/>
      <c r="H161" s="280"/>
      <c r="I161" s="280"/>
    </row>
    <row r="162" spans="1:12" x14ac:dyDescent="0.3">
      <c r="A162" s="337"/>
      <c r="B162" s="393"/>
      <c r="C162" s="393"/>
      <c r="D162" s="393"/>
      <c r="E162" s="393"/>
      <c r="F162" s="393"/>
      <c r="G162" s="280"/>
      <c r="H162" s="280"/>
      <c r="I162" s="280"/>
    </row>
    <row r="163" spans="1:12" x14ac:dyDescent="0.3">
      <c r="A163" s="337"/>
      <c r="B163" s="396" t="s">
        <v>1037</v>
      </c>
      <c r="C163" s="416" t="s">
        <v>589</v>
      </c>
      <c r="D163" s="417">
        <v>0.08</v>
      </c>
      <c r="E163" s="418">
        <f>E153</f>
        <v>15000000000</v>
      </c>
      <c r="F163" s="418">
        <v>0</v>
      </c>
      <c r="G163" s="280"/>
      <c r="H163" s="280"/>
      <c r="I163" s="280"/>
    </row>
    <row r="164" spans="1:12" ht="17.25" thickBot="1" x14ac:dyDescent="0.35">
      <c r="A164" s="337"/>
      <c r="B164" s="393"/>
      <c r="C164" s="393"/>
      <c r="D164" s="393"/>
      <c r="E164" s="419"/>
      <c r="F164" s="419"/>
      <c r="G164" s="280"/>
      <c r="H164" s="280"/>
      <c r="I164" s="280"/>
    </row>
    <row r="165" spans="1:12" ht="17.25" thickBot="1" x14ac:dyDescent="0.35">
      <c r="A165" s="337"/>
      <c r="B165" s="393"/>
      <c r="C165" s="393"/>
      <c r="D165" s="393"/>
      <c r="E165" s="420">
        <f>SUM(E163:E164)</f>
        <v>15000000000</v>
      </c>
      <c r="F165" s="420">
        <f>SUM(F163:F164)</f>
        <v>0</v>
      </c>
      <c r="G165" s="280"/>
      <c r="H165" s="280"/>
      <c r="I165" s="280"/>
    </row>
    <row r="166" spans="1:12" ht="17.25" thickTop="1" x14ac:dyDescent="0.3">
      <c r="A166" s="337"/>
      <c r="B166" s="393"/>
      <c r="C166" s="393"/>
      <c r="D166" s="393"/>
      <c r="E166" s="421"/>
      <c r="F166" s="421"/>
      <c r="G166" s="280"/>
      <c r="H166" s="280"/>
      <c r="I166" s="280"/>
    </row>
    <row r="167" spans="1:12" x14ac:dyDescent="0.3">
      <c r="A167" s="337"/>
      <c r="B167" s="352" t="s">
        <v>1038</v>
      </c>
      <c r="C167" s="280"/>
      <c r="D167" s="280"/>
      <c r="E167" s="280"/>
      <c r="F167" s="280"/>
      <c r="G167" s="280"/>
      <c r="H167" s="280"/>
      <c r="I167" s="280"/>
    </row>
    <row r="168" spans="1:12" x14ac:dyDescent="0.3">
      <c r="A168" s="337"/>
      <c r="B168" s="352"/>
      <c r="C168" s="280"/>
      <c r="D168" s="280"/>
      <c r="E168" s="280"/>
      <c r="F168" s="280"/>
      <c r="G168" s="280"/>
      <c r="H168" s="280"/>
      <c r="I168" s="280"/>
    </row>
    <row r="169" spans="1:12" x14ac:dyDescent="0.3">
      <c r="A169" s="337"/>
      <c r="B169" s="352"/>
      <c r="C169" s="280"/>
      <c r="D169" s="280"/>
      <c r="E169" s="280"/>
      <c r="F169" s="280"/>
      <c r="G169" s="280"/>
      <c r="H169" s="280"/>
      <c r="I169" s="280"/>
    </row>
    <row r="170" spans="1:12" x14ac:dyDescent="0.3">
      <c r="A170" s="337"/>
      <c r="B170" s="354" t="s">
        <v>1039</v>
      </c>
      <c r="C170" s="280"/>
      <c r="D170" s="280"/>
      <c r="E170" s="280"/>
      <c r="F170" s="280"/>
      <c r="G170" s="280"/>
      <c r="H170" s="280"/>
      <c r="I170" s="280"/>
    </row>
    <row r="171" spans="1:12" x14ac:dyDescent="0.3">
      <c r="A171" s="337"/>
      <c r="B171" s="354"/>
      <c r="C171" s="280"/>
      <c r="D171" s="280"/>
      <c r="E171" s="280"/>
      <c r="F171" s="280"/>
      <c r="G171" s="280"/>
      <c r="H171" s="280"/>
      <c r="I171" s="280"/>
    </row>
    <row r="172" spans="1:12" ht="33" x14ac:dyDescent="0.3">
      <c r="A172" s="337">
        <f>A170</f>
        <v>0</v>
      </c>
      <c r="B172" s="442"/>
      <c r="C172" s="388" t="s">
        <v>987</v>
      </c>
      <c r="D172" s="388" t="s">
        <v>987</v>
      </c>
      <c r="E172" s="390" t="s">
        <v>1028</v>
      </c>
      <c r="F172" s="390" t="s">
        <v>1028</v>
      </c>
      <c r="G172" s="440" t="s">
        <v>986</v>
      </c>
      <c r="H172" s="440" t="s">
        <v>986</v>
      </c>
    </row>
    <row r="173" spans="1:12" s="414" customFormat="1" ht="33" x14ac:dyDescent="0.3">
      <c r="A173" s="410"/>
      <c r="B173" s="411"/>
      <c r="C173" s="412" t="s">
        <v>1027</v>
      </c>
      <c r="D173" s="412" t="s">
        <v>1015</v>
      </c>
      <c r="E173" s="390" t="s">
        <v>1029</v>
      </c>
      <c r="F173" s="390" t="s">
        <v>1095</v>
      </c>
      <c r="G173" s="413" t="str">
        <f>C173</f>
        <v>Giá trị ghi sổ</v>
      </c>
      <c r="H173" s="413" t="str">
        <f>D173</f>
        <v>Số có khả năng trả nợ</v>
      </c>
    </row>
    <row r="174" spans="1:12" x14ac:dyDescent="0.3">
      <c r="A174" s="337">
        <f>A172</f>
        <v>0</v>
      </c>
      <c r="B174" s="442"/>
      <c r="C174" s="440" t="s">
        <v>589</v>
      </c>
      <c r="D174" s="440" t="s">
        <v>589</v>
      </c>
      <c r="E174" s="440" t="s">
        <v>589</v>
      </c>
      <c r="F174" s="440" t="s">
        <v>589</v>
      </c>
      <c r="G174" s="440" t="s">
        <v>589</v>
      </c>
    </row>
    <row r="175" spans="1:12" x14ac:dyDescent="0.3">
      <c r="A175" s="337">
        <f t="shared" ref="A175:A180" si="25">A174</f>
        <v>0</v>
      </c>
      <c r="B175" s="441"/>
      <c r="C175" s="312"/>
      <c r="D175" s="312"/>
      <c r="E175" s="312"/>
      <c r="F175" s="312"/>
      <c r="G175" s="312"/>
    </row>
    <row r="176" spans="1:12" x14ac:dyDescent="0.3">
      <c r="A176" s="337">
        <f t="shared" si="25"/>
        <v>0</v>
      </c>
      <c r="B176" s="441"/>
      <c r="C176" s="312">
        <v>0</v>
      </c>
      <c r="D176" s="312">
        <v>0</v>
      </c>
      <c r="E176" s="312">
        <f>-TB_Convert!M66</f>
        <v>0</v>
      </c>
      <c r="F176" s="312"/>
      <c r="G176" s="312">
        <f>D176+E176+F176</f>
        <v>0</v>
      </c>
      <c r="H176" s="294">
        <f>G176</f>
        <v>0</v>
      </c>
      <c r="L176" s="294"/>
    </row>
    <row r="177" spans="1:12" x14ac:dyDescent="0.3">
      <c r="A177" s="337">
        <f t="shared" si="25"/>
        <v>0</v>
      </c>
      <c r="B177" s="441" t="s">
        <v>1094</v>
      </c>
      <c r="C177" s="292"/>
      <c r="D177" s="292"/>
      <c r="E177" s="292">
        <v>100000000000</v>
      </c>
      <c r="F177" s="292">
        <f>C188</f>
        <v>-20000000000</v>
      </c>
      <c r="G177" s="312">
        <f>D177+E177+F177</f>
        <v>80000000000</v>
      </c>
      <c r="H177" s="294">
        <f>G177</f>
        <v>80000000000</v>
      </c>
      <c r="J177" s="193" t="b">
        <f>G177=SUM(D177:F177)</f>
        <v>1</v>
      </c>
    </row>
    <row r="178" spans="1:12" ht="17.25" thickBot="1" x14ac:dyDescent="0.35">
      <c r="A178" s="337">
        <f t="shared" si="25"/>
        <v>0</v>
      </c>
      <c r="B178" s="442"/>
      <c r="C178" s="389">
        <f t="shared" ref="C178" si="26">SUM(C176:C177)</f>
        <v>0</v>
      </c>
      <c r="D178" s="389">
        <f t="shared" ref="D178:E178" si="27">SUM(D176:D177)</f>
        <v>0</v>
      </c>
      <c r="E178" s="389">
        <f t="shared" si="27"/>
        <v>100000000000</v>
      </c>
      <c r="F178" s="389">
        <f>SUM(F176:F177)</f>
        <v>-20000000000</v>
      </c>
      <c r="G178" s="389">
        <f>SUM(G176:G177)</f>
        <v>80000000000</v>
      </c>
      <c r="H178" s="389">
        <f>SUM(H176:H177)</f>
        <v>80000000000</v>
      </c>
      <c r="J178" s="193" t="b">
        <f>G178=SUM(D178:F178)</f>
        <v>1</v>
      </c>
      <c r="L178" s="294"/>
    </row>
    <row r="179" spans="1:12" ht="17.25" thickTop="1" x14ac:dyDescent="0.3">
      <c r="A179" s="337">
        <f t="shared" si="25"/>
        <v>0</v>
      </c>
      <c r="B179" s="441"/>
      <c r="C179" s="280" t="b">
        <f t="shared" ref="C179:E179" si="28">C178=SUM(C176:C177)</f>
        <v>1</v>
      </c>
      <c r="D179" s="280" t="b">
        <f t="shared" si="28"/>
        <v>1</v>
      </c>
      <c r="E179" s="280" t="b">
        <f t="shared" si="28"/>
        <v>1</v>
      </c>
      <c r="F179" s="280" t="b">
        <f>F178=SUM(F176:F177)</f>
        <v>1</v>
      </c>
      <c r="G179" s="280" t="b">
        <f>G178=SUM(G176:G177)</f>
        <v>1</v>
      </c>
      <c r="H179" s="280" t="b">
        <f>H178=SUM(H176:H177)</f>
        <v>1</v>
      </c>
    </row>
    <row r="180" spans="1:12" x14ac:dyDescent="0.3">
      <c r="A180" s="337">
        <f t="shared" si="25"/>
        <v>0</v>
      </c>
      <c r="B180" s="441"/>
      <c r="C180" s="280" t="b">
        <f>C178=BC_TinhHinh_TaiChinh!G124</f>
        <v>1</v>
      </c>
      <c r="D180" s="280"/>
      <c r="E180" s="280"/>
      <c r="F180" s="280"/>
      <c r="G180" s="280"/>
      <c r="H180" s="280" t="b">
        <f ca="1">H178=BC_TinhHinh_TaiChinh!F115</f>
        <v>1</v>
      </c>
      <c r="I180" s="280"/>
    </row>
    <row r="181" spans="1:12" x14ac:dyDescent="0.3">
      <c r="A181" s="337"/>
      <c r="B181" s="441"/>
      <c r="C181" s="280"/>
      <c r="D181" s="280"/>
      <c r="E181" s="280"/>
      <c r="F181" s="280"/>
      <c r="G181" s="280"/>
      <c r="H181" s="280"/>
      <c r="I181" s="280"/>
    </row>
    <row r="182" spans="1:12" x14ac:dyDescent="0.3">
      <c r="A182" s="337"/>
      <c r="B182" s="459"/>
      <c r="C182" s="394" t="s">
        <v>986</v>
      </c>
      <c r="D182" s="415">
        <v>43831</v>
      </c>
      <c r="E182" s="280"/>
      <c r="F182" s="280"/>
      <c r="G182" s="280"/>
      <c r="H182" s="280"/>
      <c r="I182" s="280"/>
    </row>
    <row r="183" spans="1:12" x14ac:dyDescent="0.3">
      <c r="A183" s="337"/>
      <c r="B183" s="459"/>
      <c r="C183" s="395" t="s">
        <v>589</v>
      </c>
      <c r="D183" s="395" t="s">
        <v>589</v>
      </c>
      <c r="E183" s="280"/>
      <c r="F183" s="280"/>
      <c r="G183" s="280"/>
      <c r="H183" s="280"/>
      <c r="I183" s="280"/>
    </row>
    <row r="184" spans="1:12" x14ac:dyDescent="0.3">
      <c r="A184" s="337"/>
      <c r="B184" s="393"/>
      <c r="C184" s="393"/>
      <c r="D184" s="393"/>
      <c r="E184" s="280"/>
      <c r="F184" s="280"/>
      <c r="G184" s="280"/>
      <c r="H184" s="280"/>
      <c r="I184" s="280"/>
    </row>
    <row r="185" spans="1:12" x14ac:dyDescent="0.3">
      <c r="A185" s="337"/>
      <c r="B185" s="393" t="s">
        <v>1040</v>
      </c>
      <c r="C185" s="418">
        <f>-TB_Convert!M41-TB_Convert!M42</f>
        <v>100000000000</v>
      </c>
      <c r="D185" s="418">
        <v>0</v>
      </c>
      <c r="E185" s="280"/>
      <c r="F185" s="280"/>
      <c r="G185" s="280"/>
      <c r="H185" s="280"/>
      <c r="I185" s="280"/>
    </row>
    <row r="186" spans="1:12" ht="17.25" thickBot="1" x14ac:dyDescent="0.35">
      <c r="A186" s="337"/>
      <c r="B186" s="393"/>
      <c r="C186" s="422"/>
      <c r="D186" s="422"/>
      <c r="E186" s="280"/>
      <c r="F186" s="280"/>
      <c r="G186" s="280"/>
      <c r="H186" s="280"/>
      <c r="I186" s="280"/>
    </row>
    <row r="187" spans="1:12" x14ac:dyDescent="0.3">
      <c r="A187" s="337"/>
      <c r="B187" s="397"/>
      <c r="C187" s="423">
        <f>SUM(C185:C186)</f>
        <v>100000000000</v>
      </c>
      <c r="D187" s="423">
        <f>SUM(D185:D186)</f>
        <v>0</v>
      </c>
      <c r="E187" s="280"/>
      <c r="F187" s="280"/>
      <c r="G187" s="280"/>
      <c r="H187" s="280"/>
      <c r="I187" s="280"/>
    </row>
    <row r="188" spans="1:12" ht="30" x14ac:dyDescent="0.3">
      <c r="A188" s="337"/>
      <c r="B188" s="397" t="s">
        <v>1041</v>
      </c>
      <c r="C188" s="418">
        <f>-G154</f>
        <v>-20000000000</v>
      </c>
      <c r="D188" s="418">
        <v>0</v>
      </c>
      <c r="E188" s="280"/>
      <c r="F188" s="280"/>
      <c r="G188" s="280"/>
      <c r="H188" s="280"/>
      <c r="I188" s="280"/>
    </row>
    <row r="189" spans="1:12" x14ac:dyDescent="0.3">
      <c r="A189" s="337"/>
      <c r="B189" s="397"/>
      <c r="C189" s="280" t="b">
        <f>C188=-H154</f>
        <v>1</v>
      </c>
      <c r="D189" s="280" t="b">
        <f>D188=-D154</f>
        <v>1</v>
      </c>
      <c r="E189" s="280"/>
      <c r="F189" s="280"/>
      <c r="G189" s="280"/>
      <c r="H189" s="280"/>
      <c r="I189" s="280"/>
    </row>
    <row r="190" spans="1:12" ht="17.25" thickBot="1" x14ac:dyDescent="0.35">
      <c r="A190" s="337"/>
      <c r="B190" s="397" t="s">
        <v>1042</v>
      </c>
      <c r="C190" s="420">
        <f>SUM(C187:C189)</f>
        <v>80000000000</v>
      </c>
      <c r="D190" s="420">
        <f>SUM(D187:D189)</f>
        <v>0</v>
      </c>
      <c r="E190" s="280"/>
      <c r="F190" s="280"/>
      <c r="G190" s="280"/>
      <c r="H190" s="280"/>
      <c r="I190" s="280"/>
    </row>
    <row r="191" spans="1:12" ht="17.25" thickTop="1" x14ac:dyDescent="0.3">
      <c r="A191" s="337"/>
      <c r="B191" s="352"/>
      <c r="C191" s="280" t="b">
        <f ca="1">C190=BC_TinhHinh_TaiChinh!F115</f>
        <v>1</v>
      </c>
      <c r="D191" s="280" t="b">
        <f ca="1">D190=BC_TinhHinh_TaiChinh!G115</f>
        <v>1</v>
      </c>
      <c r="E191" s="280"/>
      <c r="F191" s="280"/>
      <c r="G191" s="280"/>
      <c r="H191" s="280"/>
      <c r="I191" s="280"/>
    </row>
    <row r="192" spans="1:12" x14ac:dyDescent="0.3">
      <c r="A192" s="337"/>
      <c r="B192" s="352"/>
      <c r="C192" s="280"/>
      <c r="D192" s="280"/>
      <c r="E192" s="280"/>
      <c r="F192" s="280"/>
      <c r="G192" s="280"/>
      <c r="H192" s="280"/>
      <c r="I192" s="280"/>
    </row>
    <row r="193" spans="1:9" x14ac:dyDescent="0.3">
      <c r="A193" s="337"/>
      <c r="B193" s="319" t="s">
        <v>1043</v>
      </c>
      <c r="C193" s="280"/>
      <c r="D193" s="280"/>
      <c r="E193" s="280"/>
      <c r="F193" s="280"/>
      <c r="G193" s="280"/>
      <c r="H193" s="280"/>
      <c r="I193" s="280"/>
    </row>
    <row r="194" spans="1:9" x14ac:dyDescent="0.3">
      <c r="A194" s="337"/>
      <c r="B194" s="319"/>
      <c r="C194" s="280"/>
      <c r="D194" s="280"/>
      <c r="E194" s="280"/>
      <c r="F194" s="280"/>
      <c r="G194" s="280"/>
      <c r="H194" s="280"/>
      <c r="I194" s="280"/>
    </row>
    <row r="195" spans="1:9" x14ac:dyDescent="0.3">
      <c r="A195" s="337"/>
      <c r="B195" s="352" t="s">
        <v>1045</v>
      </c>
      <c r="C195" s="280"/>
      <c r="D195" s="280"/>
      <c r="E195" s="280"/>
      <c r="F195" s="280"/>
      <c r="G195" s="280"/>
      <c r="H195" s="280"/>
      <c r="I195" s="280"/>
    </row>
    <row r="196" spans="1:9" x14ac:dyDescent="0.3">
      <c r="A196" s="337"/>
      <c r="B196" s="458"/>
      <c r="C196" s="459" t="s">
        <v>1035</v>
      </c>
      <c r="D196" s="459" t="s">
        <v>1036</v>
      </c>
      <c r="E196" s="459" t="s">
        <v>1044</v>
      </c>
      <c r="F196" s="394" t="s">
        <v>986</v>
      </c>
      <c r="G196" s="415">
        <v>43831</v>
      </c>
      <c r="H196" s="280"/>
      <c r="I196" s="280"/>
    </row>
    <row r="197" spans="1:9" x14ac:dyDescent="0.3">
      <c r="A197" s="337"/>
      <c r="B197" s="458"/>
      <c r="C197" s="459"/>
      <c r="D197" s="459"/>
      <c r="E197" s="459"/>
      <c r="F197" s="395" t="s">
        <v>589</v>
      </c>
      <c r="G197" s="395" t="s">
        <v>589</v>
      </c>
      <c r="H197" s="280"/>
      <c r="I197" s="280"/>
    </row>
    <row r="198" spans="1:9" x14ac:dyDescent="0.3">
      <c r="A198" s="337"/>
      <c r="B198" s="393"/>
      <c r="C198" s="393"/>
      <c r="D198" s="393"/>
      <c r="E198" s="393"/>
      <c r="F198" s="393"/>
      <c r="G198" s="393"/>
      <c r="H198" s="280"/>
      <c r="I198" s="280"/>
    </row>
    <row r="199" spans="1:9" x14ac:dyDescent="0.3">
      <c r="A199" s="337"/>
      <c r="B199" s="396" t="s">
        <v>1037</v>
      </c>
      <c r="C199" s="416" t="s">
        <v>589</v>
      </c>
      <c r="D199" s="417">
        <v>0.08</v>
      </c>
      <c r="E199" s="416">
        <v>2025</v>
      </c>
      <c r="F199" s="418">
        <f>C187</f>
        <v>100000000000</v>
      </c>
      <c r="G199" s="418">
        <f>D187</f>
        <v>0</v>
      </c>
      <c r="H199" s="280"/>
      <c r="I199" s="280"/>
    </row>
    <row r="200" spans="1:9" ht="17.25" thickBot="1" x14ac:dyDescent="0.35">
      <c r="A200" s="337"/>
      <c r="B200" s="393"/>
      <c r="C200" s="393"/>
      <c r="D200" s="393"/>
      <c r="E200" s="393"/>
      <c r="F200" s="419"/>
      <c r="G200" s="419"/>
      <c r="H200" s="280"/>
      <c r="I200" s="280"/>
    </row>
    <row r="201" spans="1:9" x14ac:dyDescent="0.3">
      <c r="A201" s="337"/>
      <c r="B201" s="393"/>
      <c r="C201" s="393"/>
      <c r="D201" s="393"/>
      <c r="E201" s="393"/>
      <c r="F201" s="418">
        <f>SUM(F199:F200)</f>
        <v>100000000000</v>
      </c>
      <c r="G201" s="418">
        <f>SUM(G199:G200)</f>
        <v>0</v>
      </c>
      <c r="H201" s="280"/>
      <c r="I201" s="280"/>
    </row>
    <row r="202" spans="1:9" x14ac:dyDescent="0.3">
      <c r="A202" s="337"/>
      <c r="B202" s="393"/>
      <c r="C202" s="393"/>
      <c r="D202" s="393"/>
      <c r="E202" s="393"/>
      <c r="F202" s="418"/>
      <c r="G202" s="418"/>
      <c r="H202" s="280"/>
      <c r="I202" s="280"/>
    </row>
    <row r="203" spans="1:9" x14ac:dyDescent="0.3">
      <c r="A203" s="337"/>
      <c r="B203" s="465" t="s">
        <v>1041</v>
      </c>
      <c r="C203" s="465"/>
      <c r="D203" s="465"/>
      <c r="E203" s="465"/>
      <c r="F203" s="418">
        <f>C188</f>
        <v>-20000000000</v>
      </c>
      <c r="G203" s="418">
        <f>D188</f>
        <v>0</v>
      </c>
      <c r="H203" s="280"/>
      <c r="I203" s="280"/>
    </row>
    <row r="204" spans="1:9" ht="17.25" thickBot="1" x14ac:dyDescent="0.35">
      <c r="A204" s="337"/>
      <c r="B204" s="393"/>
      <c r="C204" s="393"/>
      <c r="D204" s="393"/>
      <c r="E204" s="393"/>
      <c r="F204" s="419"/>
      <c r="G204" s="419"/>
      <c r="H204" s="280"/>
      <c r="I204" s="280"/>
    </row>
    <row r="205" spans="1:9" ht="17.25" thickBot="1" x14ac:dyDescent="0.35">
      <c r="A205" s="337"/>
      <c r="B205" s="466" t="s">
        <v>1042</v>
      </c>
      <c r="C205" s="466"/>
      <c r="D205" s="466"/>
      <c r="E205" s="466"/>
      <c r="F205" s="420">
        <f>SUM(F201:F204)</f>
        <v>80000000000</v>
      </c>
      <c r="G205" s="420">
        <f>SUM(G201:G204)</f>
        <v>0</v>
      </c>
      <c r="H205" s="280"/>
      <c r="I205" s="280"/>
    </row>
    <row r="206" spans="1:9" ht="17.25" thickTop="1" x14ac:dyDescent="0.3">
      <c r="A206" s="337"/>
      <c r="B206" s="319"/>
      <c r="C206" s="280"/>
      <c r="D206" s="280"/>
      <c r="E206" s="280"/>
      <c r="F206" s="280"/>
      <c r="G206" s="280"/>
      <c r="H206" s="280"/>
      <c r="I206" s="280"/>
    </row>
    <row r="207" spans="1:9" x14ac:dyDescent="0.3">
      <c r="A207" s="337"/>
      <c r="B207" s="352" t="s">
        <v>1046</v>
      </c>
      <c r="C207" s="280"/>
      <c r="D207" s="280"/>
      <c r="E207" s="280"/>
      <c r="F207" s="280"/>
      <c r="G207" s="280"/>
      <c r="H207" s="280"/>
      <c r="I207" s="280"/>
    </row>
    <row r="208" spans="1:9" x14ac:dyDescent="0.3">
      <c r="A208" s="337"/>
      <c r="B208" s="352"/>
      <c r="C208" s="280"/>
      <c r="D208" s="280"/>
      <c r="E208" s="280"/>
      <c r="F208" s="280"/>
      <c r="G208" s="280"/>
      <c r="H208" s="280"/>
      <c r="I208" s="280"/>
    </row>
    <row r="209" spans="1:12" x14ac:dyDescent="0.3">
      <c r="A209" s="337"/>
      <c r="B209" s="352"/>
      <c r="C209" s="280"/>
      <c r="D209" s="280"/>
      <c r="E209" s="280"/>
      <c r="F209" s="280"/>
      <c r="G209" s="280"/>
      <c r="H209" s="280"/>
      <c r="I209" s="280"/>
    </row>
    <row r="210" spans="1:12" s="277" customFormat="1" x14ac:dyDescent="0.3">
      <c r="A210" s="276" t="str">
        <f>BC_TinhHinh_TaiChinh!C114</f>
        <v>Phải trả dài hạn khác</v>
      </c>
      <c r="B210" s="276"/>
      <c r="E210" s="278"/>
      <c r="F210" s="278"/>
      <c r="G210" s="278"/>
      <c r="H210" s="278"/>
      <c r="I210" s="278"/>
      <c r="J210" s="278"/>
      <c r="K210" s="278"/>
    </row>
    <row r="211" spans="1:12" x14ac:dyDescent="0.3">
      <c r="A211" s="337" t="str">
        <f>A210</f>
        <v>Phải trả dài hạn khác</v>
      </c>
      <c r="B211" s="352"/>
      <c r="C211" s="347" t="str">
        <f>C135</f>
        <v>31/12/2020</v>
      </c>
      <c r="D211" s="347" t="str">
        <f>D135</f>
        <v>1/1/2020</v>
      </c>
      <c r="E211" s="280"/>
      <c r="F211" s="280"/>
      <c r="G211" s="280"/>
      <c r="H211"/>
      <c r="I211"/>
      <c r="J211"/>
      <c r="K211"/>
    </row>
    <row r="212" spans="1:12" x14ac:dyDescent="0.3">
      <c r="A212" s="337" t="str">
        <f t="shared" ref="A212:A216" si="29">A211</f>
        <v>Phải trả dài hạn khác</v>
      </c>
      <c r="B212" s="352"/>
      <c r="C212" s="347" t="str">
        <f>C136</f>
        <v>VND</v>
      </c>
      <c r="D212" s="347" t="str">
        <f>D136</f>
        <v>VND</v>
      </c>
      <c r="E212" s="280"/>
      <c r="F212" s="280"/>
      <c r="G212" s="280"/>
      <c r="H212" s="280"/>
      <c r="I212" s="280"/>
    </row>
    <row r="213" spans="1:12" x14ac:dyDescent="0.3">
      <c r="A213" s="337" t="str">
        <f t="shared" si="29"/>
        <v>Phải trả dài hạn khác</v>
      </c>
      <c r="B213" s="352" t="s">
        <v>1047</v>
      </c>
      <c r="C213" s="334">
        <f ca="1">BC_TinhHinh_TaiChinh!F114</f>
        <v>4056842168371</v>
      </c>
      <c r="D213" s="334">
        <f ca="1">BC_TinhHinh_TaiChinh!G114</f>
        <v>2463861108883</v>
      </c>
      <c r="E213" s="280"/>
      <c r="F213" s="280"/>
      <c r="G213" s="280"/>
      <c r="H213" s="280"/>
      <c r="I213" s="280"/>
    </row>
    <row r="214" spans="1:12" ht="17.25" thickBot="1" x14ac:dyDescent="0.35">
      <c r="A214" s="337" t="str">
        <f t="shared" si="29"/>
        <v>Phải trả dài hạn khác</v>
      </c>
      <c r="B214" s="352"/>
      <c r="C214" s="335">
        <f ca="1">C213</f>
        <v>4056842168371</v>
      </c>
      <c r="D214" s="335">
        <f ca="1">D213</f>
        <v>2463861108883</v>
      </c>
      <c r="E214" s="280"/>
      <c r="F214" s="280"/>
      <c r="G214" s="280"/>
      <c r="H214" s="280"/>
      <c r="I214" s="280"/>
    </row>
    <row r="215" spans="1:12" ht="17.25" thickTop="1" x14ac:dyDescent="0.3">
      <c r="A215" s="337" t="str">
        <f t="shared" si="29"/>
        <v>Phải trả dài hạn khác</v>
      </c>
      <c r="B215" s="352"/>
      <c r="C215" s="336" t="b">
        <f ca="1">C214=C213</f>
        <v>1</v>
      </c>
      <c r="D215" s="336" t="b">
        <f ca="1">D214=D213</f>
        <v>1</v>
      </c>
      <c r="E215" s="280"/>
      <c r="F215" s="280"/>
      <c r="G215" s="280"/>
      <c r="H215" s="280"/>
      <c r="I215" s="280"/>
    </row>
    <row r="216" spans="1:12" x14ac:dyDescent="0.3">
      <c r="A216" s="337" t="str">
        <f t="shared" si="29"/>
        <v>Phải trả dài hạn khác</v>
      </c>
      <c r="B216" s="352"/>
      <c r="C216" s="336" t="b">
        <f ca="1">C214=BC_TinhHinh_TaiChinh!F114</f>
        <v>1</v>
      </c>
      <c r="D216" s="336" t="b">
        <f ca="1">D214=BC_TinhHinh_TaiChinh!G114</f>
        <v>1</v>
      </c>
      <c r="E216" s="280"/>
      <c r="F216" s="280"/>
      <c r="G216" s="280"/>
      <c r="H216" s="280"/>
      <c r="I216" s="280"/>
    </row>
    <row r="217" spans="1:12" x14ac:dyDescent="0.3">
      <c r="A217" s="337" t="str">
        <f>A214</f>
        <v>Phải trả dài hạn khác</v>
      </c>
      <c r="B217" s="352"/>
      <c r="C217" s="280"/>
      <c r="D217" s="280"/>
      <c r="E217" s="280"/>
      <c r="F217" s="280"/>
      <c r="G217" s="280"/>
      <c r="H217" s="280"/>
      <c r="I217" s="280"/>
    </row>
    <row r="218" spans="1:12" x14ac:dyDescent="0.3">
      <c r="A218" s="337"/>
      <c r="B218" s="352" t="s">
        <v>1048</v>
      </c>
      <c r="C218" s="280"/>
      <c r="D218" s="280"/>
      <c r="E218" s="280"/>
      <c r="F218" s="280"/>
      <c r="G218" s="280"/>
      <c r="H218" s="280"/>
      <c r="I218" s="280"/>
    </row>
    <row r="219" spans="1:12" x14ac:dyDescent="0.3">
      <c r="A219" s="337"/>
      <c r="B219" s="352"/>
      <c r="C219" s="280"/>
      <c r="D219" s="280"/>
      <c r="E219" s="280"/>
      <c r="F219" s="280"/>
      <c r="G219" s="280"/>
      <c r="H219" s="280"/>
      <c r="I219" s="280"/>
    </row>
    <row r="220" spans="1:12" s="277" customFormat="1" x14ac:dyDescent="0.3">
      <c r="A220" s="276" t="str">
        <f>BC_TinhHinh_TaiChinh!C94</f>
        <v>Thuế và các khoản phải nộp Nhà nước</v>
      </c>
      <c r="B220" s="276"/>
      <c r="E220" s="278"/>
      <c r="F220" s="278"/>
      <c r="G220" s="278"/>
      <c r="H220" s="278"/>
      <c r="I220" s="278"/>
    </row>
    <row r="221" spans="1:12" ht="33" x14ac:dyDescent="0.3">
      <c r="A221" s="337" t="str">
        <f>A220</f>
        <v>Thuế và các khoản phải nộp Nhà nước</v>
      </c>
      <c r="B221" s="455"/>
      <c r="C221" s="353"/>
      <c r="D221" s="388" t="s">
        <v>987</v>
      </c>
      <c r="E221" s="390" t="s">
        <v>1020</v>
      </c>
      <c r="F221" s="390" t="s">
        <v>1021</v>
      </c>
      <c r="G221" s="210" t="s">
        <v>986</v>
      </c>
    </row>
    <row r="222" spans="1:12" x14ac:dyDescent="0.3">
      <c r="A222" s="337" t="str">
        <f t="shared" ref="A222:A229" si="30">A221</f>
        <v>Thuế và các khoản phải nộp Nhà nước</v>
      </c>
      <c r="B222" s="455"/>
      <c r="C222" s="353"/>
      <c r="D222" s="210" t="s">
        <v>589</v>
      </c>
      <c r="E222" s="210" t="s">
        <v>589</v>
      </c>
      <c r="F222" s="210" t="s">
        <v>589</v>
      </c>
      <c r="G222" s="210" t="s">
        <v>589</v>
      </c>
    </row>
    <row r="223" spans="1:12" x14ac:dyDescent="0.3">
      <c r="A223" s="337" t="str">
        <f t="shared" si="30"/>
        <v>Thuế và các khoản phải nộp Nhà nước</v>
      </c>
      <c r="B223" s="186"/>
      <c r="C223" s="353"/>
      <c r="D223" s="312"/>
      <c r="E223" s="312"/>
      <c r="F223" s="312"/>
      <c r="G223" s="312"/>
    </row>
    <row r="224" spans="1:12" x14ac:dyDescent="0.3">
      <c r="A224" s="337" t="str">
        <f t="shared" si="30"/>
        <v>Thuế và các khoản phải nộp Nhà nước</v>
      </c>
      <c r="B224" s="311" t="s">
        <v>1024</v>
      </c>
      <c r="C224" s="353"/>
      <c r="D224" s="312">
        <v>9290859479</v>
      </c>
      <c r="E224" s="312">
        <v>21277542274</v>
      </c>
      <c r="F224" s="312">
        <v>-30568401753</v>
      </c>
      <c r="G224" s="312">
        <f>SUM(D224:F224)</f>
        <v>0</v>
      </c>
      <c r="I224" s="193" t="b">
        <f>G224=SUM(D224:F224)</f>
        <v>1</v>
      </c>
      <c r="L224" s="294"/>
    </row>
    <row r="225" spans="1:18" x14ac:dyDescent="0.3">
      <c r="A225" s="337" t="str">
        <f>A223</f>
        <v>Thuế và các khoản phải nộp Nhà nước</v>
      </c>
      <c r="B225" s="385" t="s">
        <v>319</v>
      </c>
      <c r="C225" s="386"/>
      <c r="D225" s="292">
        <v>0</v>
      </c>
      <c r="E225" s="292">
        <f ca="1">BC_KQKD!F31</f>
        <v>6058127530</v>
      </c>
      <c r="F225" s="292">
        <f>TB_Convert!M11</f>
        <v>-4543595647</v>
      </c>
      <c r="G225" s="312">
        <f ca="1">SUM(D225:F225)</f>
        <v>1514531883</v>
      </c>
      <c r="I225" s="193" t="b">
        <f ca="1">G225=SUM(D225:F225)</f>
        <v>1</v>
      </c>
    </row>
    <row r="226" spans="1:18" x14ac:dyDescent="0.3">
      <c r="A226" s="337" t="str">
        <f>A224</f>
        <v>Thuế và các khoản phải nộp Nhà nước</v>
      </c>
      <c r="B226" s="186" t="s">
        <v>1025</v>
      </c>
      <c r="C226" s="353"/>
      <c r="D226" s="292">
        <v>0</v>
      </c>
      <c r="E226" s="292">
        <v>3000000</v>
      </c>
      <c r="F226" s="292">
        <v>-3000000</v>
      </c>
      <c r="G226" s="312">
        <f>SUM(D226:F226)</f>
        <v>0</v>
      </c>
      <c r="I226" s="193" t="b">
        <f>G226=SUM(D226:F226)</f>
        <v>1</v>
      </c>
    </row>
    <row r="227" spans="1:18" ht="17.25" thickBot="1" x14ac:dyDescent="0.35">
      <c r="A227" s="337" t="str">
        <f t="shared" si="30"/>
        <v>Thuế và các khoản phải nộp Nhà nước</v>
      </c>
      <c r="B227" s="187"/>
      <c r="C227" s="353"/>
      <c r="D227" s="389">
        <f t="shared" ref="D227:E227" si="31">SUM(D224:D226)</f>
        <v>9290859479</v>
      </c>
      <c r="E227" s="389">
        <f t="shared" ca="1" si="31"/>
        <v>27338669804</v>
      </c>
      <c r="F227" s="389">
        <f>SUM(F224:F226)</f>
        <v>-35114997400</v>
      </c>
      <c r="G227" s="389">
        <f ca="1">SUM(G224:G226)</f>
        <v>1514531883</v>
      </c>
      <c r="H227" s="193" t="b">
        <f ca="1">G227=BC_TinhHinh_TaiChinh!F94</f>
        <v>1</v>
      </c>
      <c r="I227" s="193" t="b">
        <f ca="1">G227=SUM(D227:F227)</f>
        <v>1</v>
      </c>
      <c r="L227" s="294"/>
    </row>
    <row r="228" spans="1:18" ht="17.25" thickTop="1" x14ac:dyDescent="0.3">
      <c r="A228" s="337" t="str">
        <f t="shared" si="30"/>
        <v>Thuế và các khoản phải nộp Nhà nước</v>
      </c>
      <c r="B228" s="186"/>
      <c r="C228" s="353"/>
      <c r="D228" s="280" t="b">
        <f t="shared" ref="D228:E228" si="32">D227=SUM(D224:D226)</f>
        <v>1</v>
      </c>
      <c r="E228" s="280" t="b">
        <f t="shared" ca="1" si="32"/>
        <v>1</v>
      </c>
      <c r="F228" s="280" t="b">
        <f>F227=SUM(F224:F226)</f>
        <v>1</v>
      </c>
      <c r="G228" s="280" t="b">
        <f ca="1">G227=SUM(G224:G226)</f>
        <v>1</v>
      </c>
    </row>
    <row r="229" spans="1:18" x14ac:dyDescent="0.3">
      <c r="A229" s="337" t="str">
        <f t="shared" si="30"/>
        <v>Thuế và các khoản phải nộp Nhà nước</v>
      </c>
      <c r="B229" s="311"/>
      <c r="C229" s="280"/>
      <c r="D229" s="280"/>
      <c r="E229" s="280"/>
      <c r="F229" s="280"/>
      <c r="G229" s="280"/>
      <c r="H229" s="280"/>
      <c r="I229" s="280"/>
    </row>
    <row r="230" spans="1:18" s="277" customFormat="1" x14ac:dyDescent="0.3">
      <c r="A230" s="276" t="str">
        <f>BC_TinhHinh_TaiChinh!C36</f>
        <v xml:space="preserve">Thuế và các khoản khác phải thu Nhà nước </v>
      </c>
      <c r="B230" s="276"/>
      <c r="E230" s="278"/>
      <c r="F230" s="278"/>
      <c r="G230" s="278"/>
      <c r="H230" s="278"/>
      <c r="I230" s="278"/>
    </row>
    <row r="231" spans="1:18" ht="33" x14ac:dyDescent="0.3">
      <c r="A231" s="337" t="str">
        <f>A230</f>
        <v xml:space="preserve">Thuế và các khoản khác phải thu Nhà nước </v>
      </c>
      <c r="B231" s="455"/>
      <c r="C231" s="353"/>
      <c r="D231" s="388" t="s">
        <v>987</v>
      </c>
      <c r="E231" s="390" t="s">
        <v>1022</v>
      </c>
      <c r="F231" s="390" t="s">
        <v>1023</v>
      </c>
      <c r="G231" s="351" t="s">
        <v>986</v>
      </c>
    </row>
    <row r="232" spans="1:18" x14ac:dyDescent="0.3">
      <c r="A232" s="337" t="str">
        <f t="shared" ref="A232:A237" si="33">A231</f>
        <v xml:space="preserve">Thuế và các khoản khác phải thu Nhà nước </v>
      </c>
      <c r="B232" s="455"/>
      <c r="C232" s="353"/>
      <c r="D232" s="351" t="s">
        <v>589</v>
      </c>
      <c r="E232" s="351" t="s">
        <v>589</v>
      </c>
      <c r="F232" s="351" t="s">
        <v>589</v>
      </c>
      <c r="G232" s="351" t="s">
        <v>589</v>
      </c>
    </row>
    <row r="233" spans="1:18" x14ac:dyDescent="0.3">
      <c r="A233" s="337" t="str">
        <f t="shared" si="33"/>
        <v xml:space="preserve">Thuế và các khoản khác phải thu Nhà nước </v>
      </c>
      <c r="B233" s="352"/>
      <c r="C233" s="353"/>
      <c r="D233" s="312"/>
      <c r="E233" s="312"/>
      <c r="F233" s="312"/>
      <c r="G233" s="312"/>
    </row>
    <row r="234" spans="1:18" x14ac:dyDescent="0.3">
      <c r="A234" s="337" t="str">
        <f t="shared" si="33"/>
        <v xml:space="preserve">Thuế và các khoản khác phải thu Nhà nước </v>
      </c>
      <c r="B234" s="352" t="s">
        <v>1024</v>
      </c>
      <c r="C234" s="353"/>
      <c r="D234" s="312">
        <v>0</v>
      </c>
      <c r="E234" s="312">
        <v>380363644</v>
      </c>
      <c r="F234" s="312"/>
      <c r="G234" s="312">
        <f>SUM(D234:F234)</f>
        <v>380363644</v>
      </c>
      <c r="I234" s="193" t="b">
        <f>G234=SUM(D234:F234)</f>
        <v>1</v>
      </c>
      <c r="L234" s="294"/>
    </row>
    <row r="235" spans="1:18" x14ac:dyDescent="0.3">
      <c r="A235" s="337" t="str">
        <f t="shared" si="33"/>
        <v xml:space="preserve">Thuế và các khoản khác phải thu Nhà nước </v>
      </c>
      <c r="B235" s="352" t="s">
        <v>1025</v>
      </c>
      <c r="C235" s="353"/>
      <c r="D235" s="292">
        <v>0</v>
      </c>
      <c r="E235" s="292"/>
      <c r="F235" s="292"/>
      <c r="G235" s="312">
        <f>SUM(D235:F235)</f>
        <v>0</v>
      </c>
      <c r="I235" s="193" t="b">
        <f>G235=SUM(D235:F235)</f>
        <v>1</v>
      </c>
    </row>
    <row r="236" spans="1:18" ht="17.25" thickBot="1" x14ac:dyDescent="0.35">
      <c r="A236" s="337" t="str">
        <f t="shared" si="33"/>
        <v xml:space="preserve">Thuế và các khoản khác phải thu Nhà nước </v>
      </c>
      <c r="B236" s="354"/>
      <c r="C236" s="353"/>
      <c r="D236" s="389">
        <f t="shared" ref="D236:E236" si="34">SUM(D234:D235)</f>
        <v>0</v>
      </c>
      <c r="E236" s="389">
        <f t="shared" si="34"/>
        <v>380363644</v>
      </c>
      <c r="F236" s="389">
        <f>SUM(F234:F235)</f>
        <v>0</v>
      </c>
      <c r="G236" s="389">
        <f>SUM(G234:G235)</f>
        <v>380363644</v>
      </c>
      <c r="H236" s="193" t="b">
        <f ca="1">G236=BC_TinhHinh_TaiChinh!F36</f>
        <v>1</v>
      </c>
      <c r="I236" s="193" t="b">
        <f>G236=SUM(D236:F236)</f>
        <v>1</v>
      </c>
      <c r="L236" s="294"/>
    </row>
    <row r="237" spans="1:18" ht="17.25" thickTop="1" x14ac:dyDescent="0.3">
      <c r="A237" s="337" t="str">
        <f t="shared" si="33"/>
        <v xml:space="preserve">Thuế và các khoản khác phải thu Nhà nước </v>
      </c>
      <c r="B237" s="352"/>
      <c r="C237" s="353"/>
      <c r="D237" s="280" t="b">
        <f t="shared" ref="D237:E237" si="35">D236=SUM(D234:D235)</f>
        <v>1</v>
      </c>
      <c r="E237" s="280" t="b">
        <f t="shared" si="35"/>
        <v>1</v>
      </c>
      <c r="F237" s="280" t="b">
        <f>F236=SUM(F234:F235)</f>
        <v>1</v>
      </c>
      <c r="G237" s="280" t="b">
        <f>G236=SUM(G234:G235)</f>
        <v>1</v>
      </c>
    </row>
    <row r="238" spans="1:18" x14ac:dyDescent="0.3">
      <c r="A238" s="337" t="str">
        <f>A229</f>
        <v>Thuế và các khoản phải nộp Nhà nước</v>
      </c>
      <c r="B238" s="186"/>
      <c r="C238" s="280"/>
      <c r="D238" s="280"/>
      <c r="E238" s="280"/>
      <c r="F238" s="314"/>
      <c r="G238" s="280"/>
      <c r="H238" s="280"/>
      <c r="I238" s="280"/>
      <c r="M238"/>
      <c r="N238"/>
      <c r="O238"/>
      <c r="P238"/>
      <c r="Q238"/>
      <c r="R238"/>
    </row>
    <row r="239" spans="1:18" s="277" customFormat="1" x14ac:dyDescent="0.3">
      <c r="A239" s="276" t="s">
        <v>1049</v>
      </c>
      <c r="B239" s="276"/>
      <c r="E239" s="278"/>
      <c r="F239" s="278"/>
      <c r="G239" s="278"/>
      <c r="H239" s="278"/>
      <c r="I239" s="278"/>
    </row>
    <row r="240" spans="1:18" ht="33" x14ac:dyDescent="0.3">
      <c r="A240" s="337" t="str">
        <f>A239</f>
        <v>Thay đổi vốn chủ sở hữu</v>
      </c>
      <c r="B240" s="455"/>
      <c r="C240" s="352"/>
      <c r="E240" s="390" t="s">
        <v>1050</v>
      </c>
      <c r="F240" s="390" t="s">
        <v>1055</v>
      </c>
      <c r="G240" s="210" t="s">
        <v>1056</v>
      </c>
      <c r="I240" s="280"/>
    </row>
    <row r="241" spans="1:9" x14ac:dyDescent="0.3">
      <c r="A241" s="337" t="str">
        <f t="shared" ref="A241:A272" si="36">A240</f>
        <v>Thay đổi vốn chủ sở hữu</v>
      </c>
      <c r="B241" s="455"/>
      <c r="C241" s="352"/>
      <c r="E241" s="210" t="s">
        <v>589</v>
      </c>
      <c r="F241" s="210" t="s">
        <v>589</v>
      </c>
      <c r="G241" s="210" t="s">
        <v>589</v>
      </c>
      <c r="I241" s="280"/>
    </row>
    <row r="242" spans="1:9" x14ac:dyDescent="0.3">
      <c r="A242" s="337" t="str">
        <f t="shared" si="36"/>
        <v>Thay đổi vốn chủ sở hữu</v>
      </c>
      <c r="B242" s="186"/>
      <c r="C242" s="352"/>
      <c r="E242" s="186"/>
      <c r="F242" s="281"/>
      <c r="G242" s="281"/>
      <c r="I242" s="280"/>
    </row>
    <row r="243" spans="1:9" x14ac:dyDescent="0.3">
      <c r="A243" s="337" t="str">
        <f t="shared" si="36"/>
        <v>Thay đổi vốn chủ sở hữu</v>
      </c>
      <c r="B243" s="187" t="s">
        <v>1051</v>
      </c>
      <c r="C243" s="352"/>
      <c r="E243" s="205">
        <v>3333889810736</v>
      </c>
      <c r="F243" s="292">
        <v>-1112782078325</v>
      </c>
      <c r="G243" s="283">
        <f>SUM(E243:F243)</f>
        <v>2221107732411</v>
      </c>
      <c r="I243" s="280"/>
    </row>
    <row r="244" spans="1:9" x14ac:dyDescent="0.3">
      <c r="A244" s="337" t="str">
        <f t="shared" si="36"/>
        <v>Thay đổi vốn chủ sở hữu</v>
      </c>
      <c r="B244" s="352" t="s">
        <v>1054</v>
      </c>
      <c r="C244" s="352"/>
      <c r="E244" s="205">
        <v>0</v>
      </c>
      <c r="F244" s="292">
        <v>85244816784</v>
      </c>
      <c r="G244" s="283">
        <f>SUM(E244:F244)</f>
        <v>85244816784</v>
      </c>
      <c r="I244" s="280"/>
    </row>
    <row r="245" spans="1:9" ht="17.25" thickBot="1" x14ac:dyDescent="0.35">
      <c r="A245" s="337" t="str">
        <f t="shared" si="36"/>
        <v>Thay đổi vốn chủ sở hữu</v>
      </c>
      <c r="B245" s="186"/>
      <c r="C245" s="352"/>
      <c r="E245" s="301"/>
      <c r="F245" s="302"/>
      <c r="G245" s="284"/>
      <c r="I245" s="280"/>
    </row>
    <row r="246" spans="1:9" x14ac:dyDescent="0.3">
      <c r="A246" s="337" t="str">
        <f t="shared" si="36"/>
        <v>Thay đổi vốn chủ sở hữu</v>
      </c>
      <c r="B246" s="354" t="s">
        <v>1052</v>
      </c>
      <c r="C246" s="352"/>
      <c r="E246" s="303">
        <f>SUM(E243:E244)</f>
        <v>3333889810736</v>
      </c>
      <c r="F246" s="303">
        <f>SUM(F243:F244)</f>
        <v>-1027537261541</v>
      </c>
      <c r="G246" s="283">
        <f>SUM(E246:F246)</f>
        <v>2306352549195</v>
      </c>
      <c r="H246" s="352"/>
      <c r="I246" s="280"/>
    </row>
    <row r="247" spans="1:9" x14ac:dyDescent="0.3">
      <c r="A247" s="337" t="str">
        <f t="shared" si="36"/>
        <v>Thay đổi vốn chủ sở hữu</v>
      </c>
      <c r="B247" s="352"/>
      <c r="C247" s="352"/>
      <c r="D247" s="352"/>
      <c r="E247" s="193" t="b">
        <f ca="1">E246=BC_TinhHinh_TaiChinh!G126</f>
        <v>1</v>
      </c>
      <c r="F247" s="193" t="b">
        <f ca="1">F246=BC_TinhHinh_TaiChinh!G138</f>
        <v>1</v>
      </c>
      <c r="G247" s="193" t="b">
        <f ca="1">G246=BC_TinhHinh_TaiChinh!G125</f>
        <v>1</v>
      </c>
      <c r="H247" s="352"/>
      <c r="I247" s="280"/>
    </row>
    <row r="248" spans="1:9" x14ac:dyDescent="0.3">
      <c r="A248" s="337" t="str">
        <f>A246</f>
        <v>Thay đổi vốn chủ sở hữu</v>
      </c>
      <c r="B248" s="186" t="s">
        <v>1054</v>
      </c>
      <c r="C248" s="352"/>
      <c r="E248" s="205">
        <v>0</v>
      </c>
      <c r="F248" s="292">
        <f ca="1">BC_KQKD!F33</f>
        <v>73232510118</v>
      </c>
      <c r="G248" s="282">
        <f ca="1">SUM(E248:F248)</f>
        <v>73232510118</v>
      </c>
      <c r="I248" s="280"/>
    </row>
    <row r="249" spans="1:9" ht="17.25" thickBot="1" x14ac:dyDescent="0.35">
      <c r="A249" s="337" t="str">
        <f t="shared" si="36"/>
        <v>Thay đổi vốn chủ sở hữu</v>
      </c>
      <c r="B249" s="186"/>
      <c r="C249" s="352"/>
      <c r="E249" s="293"/>
      <c r="F249" s="290"/>
      <c r="G249" s="290"/>
      <c r="I249" s="280"/>
    </row>
    <row r="250" spans="1:9" ht="33.75" thickBot="1" x14ac:dyDescent="0.35">
      <c r="A250" s="337" t="str">
        <f t="shared" si="36"/>
        <v>Thay đổi vốn chủ sở hữu</v>
      </c>
      <c r="B250" s="411" t="s">
        <v>1053</v>
      </c>
      <c r="C250" s="352"/>
      <c r="E250" s="304">
        <f ca="1">SUM(E246:E248)</f>
        <v>3333889810736</v>
      </c>
      <c r="F250" s="305">
        <f ca="1">SUM(F246:F249)</f>
        <v>-954304751423</v>
      </c>
      <c r="G250" s="306">
        <f ca="1">SUM(G246:G249)</f>
        <v>2379585059313</v>
      </c>
      <c r="I250" s="280"/>
    </row>
    <row r="251" spans="1:9" ht="17.25" thickTop="1" x14ac:dyDescent="0.3">
      <c r="A251" s="337" t="str">
        <f t="shared" si="36"/>
        <v>Thay đổi vốn chủ sở hữu</v>
      </c>
      <c r="B251" s="186"/>
      <c r="C251" s="352"/>
      <c r="D251" s="186"/>
      <c r="E251" s="193" t="b">
        <f ca="1">E250=BC_TinhHinh_TaiChinh!F126</f>
        <v>1</v>
      </c>
      <c r="F251" s="193" t="b">
        <f ca="1">F250=BC_TinhHinh_TaiChinh!F138</f>
        <v>1</v>
      </c>
      <c r="G251" s="193" t="b">
        <f ca="1">G250=BC_TinhHinh_TaiChinh!F125</f>
        <v>1</v>
      </c>
      <c r="H251" s="186"/>
      <c r="I251" s="280"/>
    </row>
    <row r="252" spans="1:9" x14ac:dyDescent="0.3">
      <c r="A252" s="337" t="str">
        <f t="shared" si="36"/>
        <v>Thay đổi vốn chủ sở hữu</v>
      </c>
      <c r="B252" s="186"/>
      <c r="C252" s="280"/>
      <c r="D252" s="280"/>
      <c r="E252" s="280"/>
      <c r="F252" s="280"/>
      <c r="G252" s="280"/>
      <c r="H252" s="280"/>
      <c r="I252" s="280"/>
    </row>
    <row r="253" spans="1:9" s="277" customFormat="1" x14ac:dyDescent="0.3">
      <c r="A253" s="276" t="str">
        <f>BC_TinhHinh_TaiChinh!C126</f>
        <v>[Vốn góp/vốn cổ phần]</v>
      </c>
      <c r="B253" s="276"/>
      <c r="E253" s="278"/>
      <c r="F253" s="278"/>
      <c r="G253" s="278"/>
      <c r="H253" s="278"/>
      <c r="I253" s="278"/>
    </row>
    <row r="254" spans="1:9" x14ac:dyDescent="0.3">
      <c r="A254" s="337" t="str">
        <f t="shared" si="36"/>
        <v>[Vốn góp/vốn cổ phần]</v>
      </c>
      <c r="B254" s="186"/>
      <c r="C254" s="280"/>
      <c r="D254" s="280"/>
      <c r="E254" s="280"/>
      <c r="F254" s="280"/>
      <c r="G254" s="280"/>
      <c r="H254" s="280"/>
      <c r="I254" s="280"/>
    </row>
    <row r="255" spans="1:9" x14ac:dyDescent="0.3">
      <c r="A255" s="337" t="str">
        <f t="shared" si="36"/>
        <v>[Vốn góp/vốn cổ phần]</v>
      </c>
      <c r="B255" s="186"/>
      <c r="C255" s="348"/>
      <c r="D255" s="348"/>
      <c r="E255" s="348"/>
      <c r="F255" s="348"/>
      <c r="G255" s="348"/>
      <c r="H255" s="280"/>
      <c r="I255" s="280"/>
    </row>
    <row r="256" spans="1:9" x14ac:dyDescent="0.3">
      <c r="A256" s="337" t="str">
        <f t="shared" si="36"/>
        <v>[Vốn góp/vốn cổ phần]</v>
      </c>
      <c r="B256" s="187"/>
      <c r="C256" s="354"/>
      <c r="D256" s="461" t="str">
        <f>G231</f>
        <v>31/12/2020</v>
      </c>
      <c r="E256" s="461"/>
      <c r="F256" s="461" t="str">
        <f>D231</f>
        <v>1/1/2020</v>
      </c>
      <c r="G256" s="461"/>
      <c r="H256" s="280"/>
      <c r="I256" s="280"/>
    </row>
    <row r="257" spans="1:9" x14ac:dyDescent="0.3">
      <c r="A257" s="337" t="str">
        <f t="shared" si="36"/>
        <v>[Vốn góp/vốn cổ phần]</v>
      </c>
      <c r="B257" s="186"/>
      <c r="C257" s="354"/>
      <c r="D257" s="210" t="s">
        <v>589</v>
      </c>
      <c r="E257" s="187" t="s">
        <v>1058</v>
      </c>
      <c r="F257" s="210" t="s">
        <v>589</v>
      </c>
      <c r="G257" s="210" t="str">
        <f>E257</f>
        <v>Số cổ phiếu</v>
      </c>
      <c r="H257" s="280"/>
      <c r="I257" s="280"/>
    </row>
    <row r="258" spans="1:9" x14ac:dyDescent="0.3">
      <c r="A258" s="337" t="str">
        <f t="shared" si="36"/>
        <v>[Vốn góp/vốn cổ phần]</v>
      </c>
      <c r="B258" s="186"/>
      <c r="C258" s="354"/>
      <c r="D258" s="186"/>
      <c r="E258" s="186"/>
      <c r="F258" s="188"/>
      <c r="G258" s="188"/>
      <c r="H258" s="280"/>
      <c r="I258" s="280"/>
    </row>
    <row r="259" spans="1:9" x14ac:dyDescent="0.3">
      <c r="A259" s="337" t="str">
        <f t="shared" si="36"/>
        <v>[Vốn góp/vốn cổ phần]</v>
      </c>
      <c r="B259" s="187" t="s">
        <v>1057</v>
      </c>
      <c r="C259" s="354"/>
      <c r="D259" s="291">
        <v>3333889810736</v>
      </c>
      <c r="E259" s="291">
        <v>333388981</v>
      </c>
      <c r="F259" s="283">
        <v>3333889810736</v>
      </c>
      <c r="G259" s="283">
        <v>333388981</v>
      </c>
      <c r="H259" s="280"/>
      <c r="I259" s="280"/>
    </row>
    <row r="260" spans="1:9" ht="17.25" thickBot="1" x14ac:dyDescent="0.35">
      <c r="A260" s="337" t="str">
        <f t="shared" si="36"/>
        <v>[Vốn góp/vốn cổ phần]</v>
      </c>
      <c r="B260" s="186"/>
      <c r="C260" s="354"/>
      <c r="D260" s="298"/>
      <c r="E260" s="298"/>
      <c r="F260" s="299"/>
      <c r="G260" s="299"/>
      <c r="H260" s="280"/>
      <c r="I260" s="280"/>
    </row>
    <row r="261" spans="1:9" ht="17.25" thickTop="1" x14ac:dyDescent="0.3">
      <c r="A261" s="337" t="str">
        <f t="shared" si="36"/>
        <v>[Vốn góp/vốn cổ phần]</v>
      </c>
      <c r="B261" s="187"/>
      <c r="C261" s="354"/>
      <c r="D261" s="308"/>
      <c r="E261" s="308"/>
      <c r="F261" s="290"/>
      <c r="G261" s="290"/>
      <c r="H261" s="280"/>
      <c r="I261" s="280"/>
    </row>
    <row r="262" spans="1:9" x14ac:dyDescent="0.3">
      <c r="A262" s="337" t="str">
        <f t="shared" si="36"/>
        <v>[Vốn góp/vốn cổ phần]</v>
      </c>
      <c r="B262" s="187" t="s">
        <v>1059</v>
      </c>
      <c r="C262" s="354"/>
      <c r="D262" s="187"/>
      <c r="E262" s="290"/>
      <c r="F262" s="290"/>
      <c r="G262" s="290"/>
      <c r="H262" s="280"/>
      <c r="I262" s="280"/>
    </row>
    <row r="263" spans="1:9" x14ac:dyDescent="0.3">
      <c r="A263" s="337" t="str">
        <f t="shared" si="36"/>
        <v>[Vốn góp/vốn cổ phần]</v>
      </c>
      <c r="B263" s="186" t="s">
        <v>1060</v>
      </c>
      <c r="C263" s="354"/>
      <c r="D263" s="291">
        <v>3333889810736</v>
      </c>
      <c r="E263" s="291">
        <v>333388981</v>
      </c>
      <c r="F263" s="283">
        <v>3333889810736</v>
      </c>
      <c r="G263" s="283">
        <v>333388981</v>
      </c>
      <c r="H263" s="280"/>
      <c r="I263" s="280"/>
    </row>
    <row r="264" spans="1:9" ht="17.25" thickBot="1" x14ac:dyDescent="0.35">
      <c r="A264" s="337" t="str">
        <f t="shared" si="36"/>
        <v>[Vốn góp/vốn cổ phần]</v>
      </c>
      <c r="B264" s="186"/>
      <c r="C264" s="354"/>
      <c r="D264" s="462"/>
      <c r="E264" s="462"/>
      <c r="F264" s="284"/>
      <c r="G264" s="284"/>
      <c r="H264" s="280"/>
      <c r="I264" s="280"/>
    </row>
    <row r="265" spans="1:9" x14ac:dyDescent="0.3">
      <c r="A265" s="337" t="str">
        <f t="shared" si="36"/>
        <v>[Vốn góp/vốn cổ phần]</v>
      </c>
      <c r="B265" s="186"/>
      <c r="C265" s="354"/>
      <c r="D265" s="463"/>
      <c r="E265" s="463"/>
      <c r="F265" s="290"/>
      <c r="G265" s="290"/>
      <c r="H265" s="280"/>
      <c r="I265" s="280"/>
    </row>
    <row r="266" spans="1:9" x14ac:dyDescent="0.3">
      <c r="A266" s="337" t="str">
        <f t="shared" si="36"/>
        <v>[Vốn góp/vốn cổ phần]</v>
      </c>
      <c r="B266" s="187" t="s">
        <v>1061</v>
      </c>
      <c r="C266" s="354"/>
      <c r="D266" s="187"/>
      <c r="E266" s="215"/>
      <c r="F266" s="215"/>
      <c r="G266" s="215"/>
      <c r="H266" s="280"/>
      <c r="I266" s="280"/>
    </row>
    <row r="267" spans="1:9" x14ac:dyDescent="0.3">
      <c r="A267" s="337" t="str">
        <f t="shared" si="36"/>
        <v>[Vốn góp/vốn cổ phần]</v>
      </c>
      <c r="B267" s="186" t="str">
        <f>B263</f>
        <v>Cổ phiếu phổ thông</v>
      </c>
      <c r="C267" s="354"/>
      <c r="D267" s="291">
        <v>3333889810736</v>
      </c>
      <c r="E267" s="291">
        <v>333388981</v>
      </c>
      <c r="F267" s="283">
        <v>3333889810736</v>
      </c>
      <c r="G267" s="283">
        <v>333388981</v>
      </c>
      <c r="H267" s="280"/>
      <c r="I267" s="280"/>
    </row>
    <row r="268" spans="1:9" ht="17.25" thickBot="1" x14ac:dyDescent="0.35">
      <c r="A268" s="337" t="str">
        <f t="shared" si="36"/>
        <v>[Vốn góp/vốn cổ phần]</v>
      </c>
      <c r="B268" s="186"/>
      <c r="C268" s="354"/>
      <c r="D268" s="464"/>
      <c r="E268" s="464"/>
      <c r="F268" s="309"/>
      <c r="G268" s="309"/>
      <c r="H268" s="280"/>
      <c r="I268" s="280"/>
    </row>
    <row r="269" spans="1:9" ht="17.25" thickTop="1" x14ac:dyDescent="0.3">
      <c r="A269" s="337" t="str">
        <f t="shared" si="36"/>
        <v>[Vốn góp/vốn cổ phần]</v>
      </c>
      <c r="B269" s="186"/>
      <c r="C269" s="354"/>
      <c r="D269" s="186" t="b">
        <f>D267=-(MLS!J283+MLS!J286)</f>
        <v>1</v>
      </c>
      <c r="E269" s="186"/>
      <c r="F269" s="186"/>
      <c r="G269" s="186"/>
      <c r="H269" s="280"/>
      <c r="I269" s="280"/>
    </row>
    <row r="270" spans="1:9" x14ac:dyDescent="0.3">
      <c r="A270" s="337" t="str">
        <f t="shared" si="36"/>
        <v>[Vốn góp/vốn cổ phần]</v>
      </c>
      <c r="B270" s="186"/>
      <c r="C270" s="280"/>
      <c r="D270" s="280"/>
      <c r="E270" s="280"/>
      <c r="F270" s="280"/>
      <c r="G270" s="280"/>
      <c r="H270" s="280"/>
      <c r="I270" s="280"/>
    </row>
    <row r="271" spans="1:9" x14ac:dyDescent="0.3">
      <c r="A271" s="337" t="str">
        <f t="shared" si="36"/>
        <v>[Vốn góp/vốn cổ phần]</v>
      </c>
      <c r="B271" s="186" t="s">
        <v>1062</v>
      </c>
      <c r="C271" s="280"/>
      <c r="D271" s="280"/>
      <c r="E271" s="280"/>
      <c r="F271" s="280"/>
      <c r="G271" s="280"/>
      <c r="H271" s="280"/>
      <c r="I271" s="280"/>
    </row>
    <row r="272" spans="1:9" x14ac:dyDescent="0.3">
      <c r="A272" s="337" t="str">
        <f t="shared" si="36"/>
        <v>[Vốn góp/vốn cổ phần]</v>
      </c>
      <c r="B272" s="186" t="s">
        <v>1063</v>
      </c>
      <c r="C272" s="280"/>
      <c r="D272" s="280"/>
      <c r="E272" s="280"/>
      <c r="F272" s="280"/>
      <c r="G272" s="280"/>
      <c r="H272" s="280"/>
      <c r="I272" s="280"/>
    </row>
    <row r="273" spans="1:9" x14ac:dyDescent="0.3">
      <c r="A273" s="337" t="e">
        <f>#REF!</f>
        <v>#REF!</v>
      </c>
      <c r="B273" s="311"/>
      <c r="C273" s="280"/>
      <c r="D273" s="280"/>
      <c r="E273" s="280"/>
      <c r="F273" s="280"/>
      <c r="G273" s="280"/>
      <c r="H273" s="280"/>
      <c r="I273" s="280"/>
    </row>
    <row r="274" spans="1:9" s="277" customFormat="1" x14ac:dyDescent="0.3">
      <c r="A274" s="276" t="str">
        <f>BC_KQKD!B8</f>
        <v>Doanh thu bán hàng và cung cấp dịch vụ</v>
      </c>
      <c r="B274" s="276"/>
      <c r="C274" s="276"/>
      <c r="D274" s="276"/>
      <c r="E274" s="278"/>
      <c r="F274" s="278"/>
      <c r="G274" s="278"/>
      <c r="H274" s="278"/>
      <c r="I274" s="278"/>
    </row>
    <row r="275" spans="1:9" x14ac:dyDescent="0.3">
      <c r="A275" s="337" t="str">
        <f>A274</f>
        <v>Doanh thu bán hàng và cung cấp dịch vụ</v>
      </c>
      <c r="B275" s="186" t="s">
        <v>1064</v>
      </c>
      <c r="C275" s="280"/>
      <c r="D275" s="280"/>
      <c r="E275" s="280"/>
      <c r="F275" s="280"/>
      <c r="G275" s="280"/>
      <c r="H275" s="280"/>
      <c r="I275" s="280"/>
    </row>
    <row r="276" spans="1:9" x14ac:dyDescent="0.3">
      <c r="A276" s="337" t="str">
        <f t="shared" ref="A276:A283" si="37">A275</f>
        <v>Doanh thu bán hàng và cung cấp dịch vụ</v>
      </c>
      <c r="B276" s="186"/>
      <c r="C276" s="280"/>
      <c r="D276" s="280"/>
      <c r="E276" s="280"/>
      <c r="F276" s="280"/>
      <c r="G276" s="280"/>
      <c r="H276" s="280"/>
      <c r="I276" s="280"/>
    </row>
    <row r="277" spans="1:9" x14ac:dyDescent="0.3">
      <c r="A277" s="337" t="str">
        <f t="shared" si="37"/>
        <v>Doanh thu bán hàng và cung cấp dịch vụ</v>
      </c>
      <c r="B277" s="455"/>
      <c r="C277" s="351">
        <f>BC_KQKD!F4</f>
        <v>2020</v>
      </c>
      <c r="D277" s="210">
        <f>BC_KQKD!G4</f>
        <v>2019</v>
      </c>
      <c r="E277" s="280"/>
      <c r="F277" s="280"/>
      <c r="G277" s="280"/>
      <c r="H277" s="280"/>
      <c r="I277" s="280"/>
    </row>
    <row r="278" spans="1:9" x14ac:dyDescent="0.3">
      <c r="A278" s="337" t="str">
        <f t="shared" si="37"/>
        <v>Doanh thu bán hàng và cung cấp dịch vụ</v>
      </c>
      <c r="B278" s="455"/>
      <c r="C278" s="351" t="s">
        <v>589</v>
      </c>
      <c r="D278" s="210" t="s">
        <v>589</v>
      </c>
      <c r="E278" s="280"/>
      <c r="F278" s="280"/>
      <c r="G278" s="280"/>
      <c r="H278" s="280"/>
      <c r="I278" s="280"/>
    </row>
    <row r="279" spans="1:9" x14ac:dyDescent="0.3">
      <c r="A279" s="337" t="str">
        <f t="shared" si="37"/>
        <v>Doanh thu bán hàng và cung cấp dịch vụ</v>
      </c>
      <c r="B279" s="186"/>
      <c r="C279" s="353"/>
      <c r="D279" s="281"/>
      <c r="E279" s="280"/>
      <c r="F279" s="280"/>
      <c r="G279" s="280"/>
      <c r="H279" s="280"/>
      <c r="I279" s="280"/>
    </row>
    <row r="280" spans="1:9" x14ac:dyDescent="0.3">
      <c r="A280" s="337" t="str">
        <f t="shared" si="37"/>
        <v>Doanh thu bán hàng và cung cấp dịch vụ</v>
      </c>
      <c r="B280" s="186" t="s">
        <v>1065</v>
      </c>
      <c r="C280" s="283">
        <v>259666666668</v>
      </c>
      <c r="D280" s="283">
        <v>259666666668</v>
      </c>
      <c r="E280" s="280"/>
      <c r="F280" s="280"/>
      <c r="G280" s="280"/>
      <c r="H280" s="280"/>
      <c r="I280" s="280"/>
    </row>
    <row r="281" spans="1:9" ht="17.25" thickBot="1" x14ac:dyDescent="0.35">
      <c r="A281" s="337" t="str">
        <f t="shared" si="37"/>
        <v>Doanh thu bán hàng và cung cấp dịch vụ</v>
      </c>
      <c r="B281" s="186"/>
      <c r="C281" s="356"/>
      <c r="D281" s="309"/>
      <c r="E281" s="280"/>
      <c r="F281" s="280"/>
      <c r="G281" s="280"/>
      <c r="H281" s="280"/>
      <c r="I281" s="280"/>
    </row>
    <row r="282" spans="1:9" ht="17.25" thickTop="1" x14ac:dyDescent="0.3">
      <c r="A282" s="337" t="str">
        <f t="shared" si="37"/>
        <v>Doanh thu bán hàng và cung cấp dịch vụ</v>
      </c>
      <c r="B282" s="186"/>
      <c r="C282" s="280" t="b">
        <f ca="1">C280=BC_KQKD!F8</f>
        <v>1</v>
      </c>
      <c r="D282" s="280" t="b">
        <f ca="1">D280=BC_KQKD!G8</f>
        <v>1</v>
      </c>
      <c r="E282" s="280"/>
      <c r="F282" s="280"/>
      <c r="G282" s="280"/>
      <c r="H282" s="280"/>
      <c r="I282" s="280"/>
    </row>
    <row r="283" spans="1:9" x14ac:dyDescent="0.3">
      <c r="A283" s="337" t="str">
        <f t="shared" si="37"/>
        <v>Doanh thu bán hàng và cung cấp dịch vụ</v>
      </c>
      <c r="B283" s="186"/>
      <c r="C283" s="280"/>
      <c r="D283" s="280"/>
      <c r="E283" s="280"/>
      <c r="F283" s="280"/>
      <c r="G283" s="280"/>
      <c r="H283" s="280"/>
      <c r="I283" s="280"/>
    </row>
    <row r="284" spans="1:9" s="277" customFormat="1" x14ac:dyDescent="0.3">
      <c r="A284" s="276" t="str">
        <f>BC_KQKD!B13</f>
        <v>Giá vốn hàng bán</v>
      </c>
      <c r="B284" s="276"/>
      <c r="E284" s="278"/>
      <c r="F284" s="278"/>
      <c r="G284" s="278"/>
      <c r="H284" s="278"/>
      <c r="I284" s="278"/>
    </row>
    <row r="285" spans="1:9" x14ac:dyDescent="0.3">
      <c r="A285" s="337" t="str">
        <f>A284</f>
        <v>Giá vốn hàng bán</v>
      </c>
      <c r="B285" s="455"/>
      <c r="C285" s="351">
        <f>C277</f>
        <v>2020</v>
      </c>
      <c r="D285" s="210">
        <f>D277</f>
        <v>2019</v>
      </c>
      <c r="E285" s="280"/>
      <c r="F285" s="280"/>
    </row>
    <row r="286" spans="1:9" x14ac:dyDescent="0.3">
      <c r="A286" s="337" t="str">
        <f t="shared" ref="A286:A294" si="38">A285</f>
        <v>Giá vốn hàng bán</v>
      </c>
      <c r="B286" s="455"/>
      <c r="C286" s="351" t="s">
        <v>589</v>
      </c>
      <c r="D286" s="210" t="s">
        <v>589</v>
      </c>
      <c r="E286" s="280"/>
      <c r="F286" s="280"/>
    </row>
    <row r="287" spans="1:9" x14ac:dyDescent="0.3">
      <c r="A287" s="337" t="str">
        <f t="shared" si="38"/>
        <v>Giá vốn hàng bán</v>
      </c>
      <c r="B287" s="186"/>
      <c r="C287" s="353"/>
      <c r="D287" s="281"/>
      <c r="E287" s="280"/>
      <c r="F287" s="280"/>
    </row>
    <row r="288" spans="1:9" x14ac:dyDescent="0.3">
      <c r="A288" s="337" t="str">
        <f t="shared" si="38"/>
        <v>Giá vốn hàng bán</v>
      </c>
      <c r="B288" s="186" t="s">
        <v>1066</v>
      </c>
      <c r="C288" s="282">
        <f ca="1">BC_KQKD!F13-Thuyet_Minh!C289</f>
        <v>174026262260</v>
      </c>
      <c r="D288" s="282">
        <v>173922831529</v>
      </c>
      <c r="E288" s="280"/>
      <c r="F288" s="280"/>
    </row>
    <row r="289" spans="1:9" x14ac:dyDescent="0.3">
      <c r="A289" s="337" t="str">
        <f t="shared" si="38"/>
        <v>Giá vốn hàng bán</v>
      </c>
      <c r="B289" s="186" t="s">
        <v>483</v>
      </c>
      <c r="C289" s="282">
        <v>39498949</v>
      </c>
      <c r="D289" s="282">
        <v>39439581</v>
      </c>
      <c r="E289" s="280"/>
      <c r="F289" s="280"/>
    </row>
    <row r="290" spans="1:9" x14ac:dyDescent="0.3">
      <c r="A290" s="337" t="str">
        <f t="shared" si="38"/>
        <v>Giá vốn hàng bán</v>
      </c>
      <c r="B290" s="186"/>
      <c r="C290" s="282"/>
      <c r="D290" s="282"/>
      <c r="E290" s="280"/>
      <c r="F290" s="280"/>
    </row>
    <row r="291" spans="1:9" ht="17.25" thickBot="1" x14ac:dyDescent="0.35">
      <c r="A291" s="337" t="str">
        <f t="shared" si="38"/>
        <v>Giá vốn hàng bán</v>
      </c>
      <c r="B291" s="186"/>
      <c r="C291" s="310">
        <f ca="1">SUM(C288:C289)</f>
        <v>174065761209</v>
      </c>
      <c r="D291" s="310">
        <f>SUM(D288:D289)</f>
        <v>173962271110</v>
      </c>
      <c r="E291" s="280"/>
      <c r="F291" s="280"/>
    </row>
    <row r="292" spans="1:9" s="322" customFormat="1" ht="17.25" thickTop="1" x14ac:dyDescent="0.3">
      <c r="A292" s="337" t="str">
        <f t="shared" si="38"/>
        <v>Giá vốn hàng bán</v>
      </c>
      <c r="B292" s="321"/>
      <c r="C292" s="341" t="b">
        <f ca="1">C291=SUM(C288:C289)</f>
        <v>1</v>
      </c>
      <c r="D292" s="341" t="b">
        <f>D291=SUM(D288:D289)</f>
        <v>1</v>
      </c>
      <c r="E292" s="323"/>
      <c r="F292" s="323"/>
    </row>
    <row r="293" spans="1:9" x14ac:dyDescent="0.3">
      <c r="A293" s="337" t="str">
        <f t="shared" si="38"/>
        <v>Giá vốn hàng bán</v>
      </c>
      <c r="B293" s="186"/>
      <c r="C293" s="280" t="b">
        <f ca="1">C291=BC_KQKD!F13</f>
        <v>1</v>
      </c>
      <c r="D293" s="280" t="b">
        <f ca="1">D291=BC_KQKD!G13</f>
        <v>1</v>
      </c>
      <c r="E293" s="280"/>
      <c r="F293" s="280"/>
    </row>
    <row r="294" spans="1:9" x14ac:dyDescent="0.3">
      <c r="A294" s="337" t="str">
        <f t="shared" si="38"/>
        <v>Giá vốn hàng bán</v>
      </c>
      <c r="B294" s="186"/>
      <c r="C294" s="280"/>
      <c r="D294" s="280"/>
      <c r="E294" s="280"/>
      <c r="F294" s="280"/>
      <c r="G294" s="280"/>
      <c r="H294" s="280"/>
      <c r="I294" s="280"/>
    </row>
    <row r="295" spans="1:9" s="277" customFormat="1" x14ac:dyDescent="0.3">
      <c r="A295" s="276" t="str">
        <f>BC_KQKD!B16</f>
        <v>Chi phí tài chính</v>
      </c>
      <c r="B295" s="276"/>
      <c r="E295" s="278"/>
      <c r="F295" s="278"/>
      <c r="G295" s="278"/>
      <c r="H295" s="278"/>
      <c r="I295" s="278"/>
    </row>
    <row r="296" spans="1:9" s="288" customFormat="1" x14ac:dyDescent="0.3">
      <c r="A296" s="337" t="str">
        <f>A295</f>
        <v>Chi phí tài chính</v>
      </c>
      <c r="B296" s="316"/>
      <c r="C296" s="351">
        <f>C285</f>
        <v>2020</v>
      </c>
      <c r="D296" s="307">
        <f>D285</f>
        <v>2019</v>
      </c>
      <c r="E296" s="289"/>
      <c r="F296" s="289"/>
      <c r="G296" s="289"/>
      <c r="H296" s="289"/>
      <c r="I296" s="289"/>
    </row>
    <row r="297" spans="1:9" s="288" customFormat="1" x14ac:dyDescent="0.3">
      <c r="A297" s="337" t="str">
        <f t="shared" ref="A297:A299" si="39">A296</f>
        <v>Chi phí tài chính</v>
      </c>
      <c r="B297" s="316"/>
      <c r="C297" s="351" t="s">
        <v>589</v>
      </c>
      <c r="D297" s="307" t="s">
        <v>589</v>
      </c>
      <c r="E297" s="289"/>
      <c r="F297" s="289"/>
      <c r="G297" s="289"/>
      <c r="H297" s="289"/>
      <c r="I297" s="289"/>
    </row>
    <row r="298" spans="1:9" s="288" customFormat="1" x14ac:dyDescent="0.3">
      <c r="A298" s="337" t="str">
        <f t="shared" si="39"/>
        <v>Chi phí tài chính</v>
      </c>
      <c r="B298" s="316" t="s">
        <v>534</v>
      </c>
      <c r="C298" s="345">
        <f ca="1">BC_KQKD!F17</f>
        <v>1200000000</v>
      </c>
      <c r="D298" s="345">
        <f ca="1">BC_KQKD!G17</f>
        <v>0</v>
      </c>
      <c r="E298" s="289"/>
      <c r="F298" s="289"/>
      <c r="G298" s="289"/>
      <c r="H298" s="289"/>
      <c r="I298" s="289"/>
    </row>
    <row r="299" spans="1:9" x14ac:dyDescent="0.3">
      <c r="A299" s="337" t="str">
        <f t="shared" si="39"/>
        <v>Chi phí tài chính</v>
      </c>
      <c r="B299" s="311"/>
      <c r="C299" s="280" t="b">
        <f ca="1">C298=BC_KQKD!F16</f>
        <v>1</v>
      </c>
      <c r="D299" s="280" t="b">
        <f ca="1">D298=BC_KQKD!G16</f>
        <v>1</v>
      </c>
      <c r="E299" s="280"/>
      <c r="F299" s="280"/>
      <c r="G299" s="280"/>
      <c r="H299" s="280"/>
      <c r="I299" s="280"/>
    </row>
    <row r="300" spans="1:9" x14ac:dyDescent="0.3">
      <c r="A300" s="337"/>
      <c r="B300" s="352"/>
      <c r="C300" s="280"/>
      <c r="D300" s="280"/>
      <c r="E300" s="280"/>
      <c r="F300" s="280"/>
      <c r="G300" s="280"/>
      <c r="H300" s="280"/>
      <c r="I300" s="280"/>
    </row>
    <row r="301" spans="1:9" s="277" customFormat="1" x14ac:dyDescent="0.3">
      <c r="A301" s="276" t="str">
        <f>BC_KQKD!B20</f>
        <v>Chi phí quản lý doanh nghiệp</v>
      </c>
      <c r="B301" s="276"/>
      <c r="E301" s="278"/>
      <c r="F301" s="278"/>
      <c r="G301" s="278"/>
      <c r="H301" s="278"/>
      <c r="I301" s="278"/>
    </row>
    <row r="302" spans="1:9" x14ac:dyDescent="0.3">
      <c r="A302" s="337" t="str">
        <f>A301</f>
        <v>Chi phí quản lý doanh nghiệp</v>
      </c>
      <c r="B302" s="311"/>
      <c r="C302" s="351">
        <f>C285</f>
        <v>2020</v>
      </c>
      <c r="D302" s="307">
        <f>D285</f>
        <v>2019</v>
      </c>
      <c r="E302" s="280"/>
      <c r="F302" s="280"/>
      <c r="G302" s="280"/>
      <c r="H302" s="280"/>
      <c r="I302" s="280"/>
    </row>
    <row r="303" spans="1:9" x14ac:dyDescent="0.3">
      <c r="A303" s="337" t="str">
        <f t="shared" ref="A303:A345" si="40">A302</f>
        <v>Chi phí quản lý doanh nghiệp</v>
      </c>
      <c r="B303" s="311"/>
      <c r="C303" s="351" t="s">
        <v>589</v>
      </c>
      <c r="D303" s="307" t="s">
        <v>589</v>
      </c>
      <c r="E303" s="280"/>
      <c r="F303" s="280"/>
      <c r="G303" s="280"/>
      <c r="H303" s="280"/>
      <c r="I303" s="280"/>
    </row>
    <row r="304" spans="1:9" x14ac:dyDescent="0.3">
      <c r="A304" s="337" t="str">
        <f>A306</f>
        <v>Chi phí quản lý doanh nghiệp</v>
      </c>
      <c r="B304" s="311" t="s">
        <v>1019</v>
      </c>
      <c r="C304" s="211">
        <v>5000000000</v>
      </c>
      <c r="D304" s="211">
        <v>0</v>
      </c>
      <c r="E304" s="280"/>
      <c r="F304" s="280"/>
      <c r="G304" s="280"/>
      <c r="H304" s="280"/>
      <c r="I304" s="280"/>
    </row>
    <row r="305" spans="1:9" x14ac:dyDescent="0.3">
      <c r="A305" s="337" t="str">
        <f>A303</f>
        <v>Chi phí quản lý doanh nghiệp</v>
      </c>
      <c r="B305" s="311" t="s">
        <v>1067</v>
      </c>
      <c r="C305" s="211">
        <v>3000000</v>
      </c>
      <c r="D305" s="211">
        <v>3000000</v>
      </c>
      <c r="E305" s="280"/>
      <c r="F305" s="280"/>
      <c r="G305" s="280"/>
      <c r="H305" s="280"/>
      <c r="I305" s="280"/>
    </row>
    <row r="306" spans="1:9" x14ac:dyDescent="0.3">
      <c r="A306" s="337" t="str">
        <f t="shared" si="40"/>
        <v>Chi phí quản lý doanh nghiệp</v>
      </c>
      <c r="B306" s="311" t="s">
        <v>1068</v>
      </c>
      <c r="C306" s="211">
        <v>87529500</v>
      </c>
      <c r="D306" s="211">
        <v>87529500</v>
      </c>
      <c r="E306" s="280"/>
      <c r="F306" s="280"/>
      <c r="G306" s="280"/>
      <c r="H306" s="280"/>
      <c r="I306" s="280"/>
    </row>
    <row r="307" spans="1:9" x14ac:dyDescent="0.3">
      <c r="A307" s="337" t="str">
        <f>A304</f>
        <v>Chi phí quản lý doanh nghiệp</v>
      </c>
      <c r="B307" s="311" t="s">
        <v>1069</v>
      </c>
      <c r="C307" s="211">
        <f ca="1">BC_KQKD!F20-C304-C305-C306</f>
        <v>19870002</v>
      </c>
      <c r="D307" s="211" t="e">
        <f>291507345+#REF!</f>
        <v>#REF!</v>
      </c>
      <c r="E307" s="280"/>
      <c r="F307" s="280"/>
      <c r="G307" s="280"/>
      <c r="H307" s="280"/>
      <c r="I307" s="280"/>
    </row>
    <row r="308" spans="1:9" x14ac:dyDescent="0.3">
      <c r="A308" s="337" t="str">
        <f>A304</f>
        <v>Chi phí quản lý doanh nghiệp</v>
      </c>
      <c r="B308" s="311"/>
      <c r="C308" s="318"/>
      <c r="D308" s="318">
        <v>0</v>
      </c>
      <c r="E308" s="280"/>
      <c r="F308" s="280"/>
      <c r="G308" s="280"/>
      <c r="H308" s="280"/>
      <c r="I308" s="280"/>
    </row>
    <row r="309" spans="1:9" ht="17.25" thickBot="1" x14ac:dyDescent="0.35">
      <c r="A309" s="337" t="str">
        <f>A307</f>
        <v>Chi phí quản lý doanh nghiệp</v>
      </c>
      <c r="B309" s="311"/>
      <c r="C309" s="335">
        <f ca="1">SUM(C304:C308)</f>
        <v>5110399502</v>
      </c>
      <c r="D309" s="335" t="e">
        <f>SUM(D304:D308)</f>
        <v>#REF!</v>
      </c>
      <c r="E309" s="280"/>
      <c r="F309" s="280"/>
      <c r="G309" s="280"/>
      <c r="H309" s="280"/>
      <c r="I309" s="280"/>
    </row>
    <row r="310" spans="1:9" ht="17.25" thickTop="1" x14ac:dyDescent="0.3">
      <c r="A310" s="337" t="str">
        <f t="shared" si="40"/>
        <v>Chi phí quản lý doanh nghiệp</v>
      </c>
      <c r="B310" s="311"/>
      <c r="C310" s="336" t="b">
        <f ca="1">C309=SUM(C304:C308)</f>
        <v>1</v>
      </c>
      <c r="D310" s="336" t="e">
        <f>D309=SUM(D305:D308)</f>
        <v>#REF!</v>
      </c>
      <c r="E310" s="280"/>
      <c r="F310" s="280"/>
      <c r="G310" s="280"/>
      <c r="H310" s="280"/>
      <c r="I310" s="280"/>
    </row>
    <row r="311" spans="1:9" x14ac:dyDescent="0.3">
      <c r="A311" s="337" t="str">
        <f t="shared" si="40"/>
        <v>Chi phí quản lý doanh nghiệp</v>
      </c>
      <c r="B311" s="311"/>
      <c r="C311" s="336" t="b">
        <f ca="1">C309=BC_KQKD!F20</f>
        <v>1</v>
      </c>
      <c r="D311" s="336" t="e">
        <f ca="1">D309=BC_KQKD!G20</f>
        <v>#REF!</v>
      </c>
      <c r="E311" s="280"/>
      <c r="F311" s="280"/>
      <c r="G311" s="280"/>
      <c r="H311" s="280"/>
      <c r="I311" s="280"/>
    </row>
    <row r="312" spans="1:9" x14ac:dyDescent="0.3">
      <c r="A312" s="337" t="str">
        <f t="shared" si="40"/>
        <v>Chi phí quản lý doanh nghiệp</v>
      </c>
      <c r="B312" s="311"/>
      <c r="C312" s="280"/>
      <c r="D312" s="280"/>
      <c r="E312" s="280"/>
      <c r="F312" s="280"/>
      <c r="G312" s="280"/>
      <c r="H312" s="280"/>
      <c r="I312" s="280"/>
    </row>
    <row r="313" spans="1:9" s="277" customFormat="1" x14ac:dyDescent="0.3">
      <c r="A313" s="276" t="s">
        <v>1070</v>
      </c>
      <c r="B313" s="276"/>
      <c r="E313" s="278"/>
      <c r="F313" s="278"/>
      <c r="G313" s="278"/>
      <c r="H313" s="278"/>
      <c r="I313" s="278"/>
    </row>
    <row r="314" spans="1:9" x14ac:dyDescent="0.3">
      <c r="A314" s="337" t="str">
        <f t="shared" si="40"/>
        <v>Chi phí sản xuất và kinh doanh theo yếu tố</v>
      </c>
      <c r="B314" s="455"/>
      <c r="C314" s="351">
        <f>C302</f>
        <v>2020</v>
      </c>
      <c r="D314" s="307">
        <f>D302</f>
        <v>2019</v>
      </c>
      <c r="E314" s="280"/>
      <c r="F314" s="280"/>
      <c r="G314" s="280"/>
      <c r="H314" s="280"/>
      <c r="I314" s="280"/>
    </row>
    <row r="315" spans="1:9" x14ac:dyDescent="0.3">
      <c r="A315" s="337" t="str">
        <f t="shared" si="40"/>
        <v>Chi phí sản xuất và kinh doanh theo yếu tố</v>
      </c>
      <c r="B315" s="455"/>
      <c r="C315" s="351" t="s">
        <v>589</v>
      </c>
      <c r="D315" s="210" t="s">
        <v>589</v>
      </c>
      <c r="E315" s="280"/>
      <c r="F315" s="280"/>
      <c r="G315" s="280"/>
      <c r="H315" s="280"/>
      <c r="I315" s="280"/>
    </row>
    <row r="316" spans="1:9" x14ac:dyDescent="0.3">
      <c r="A316" s="337" t="str">
        <f t="shared" si="40"/>
        <v>Chi phí sản xuất và kinh doanh theo yếu tố</v>
      </c>
      <c r="B316" s="186"/>
      <c r="C316" s="353"/>
      <c r="D316" s="281"/>
      <c r="E316" s="280"/>
      <c r="F316" s="280"/>
      <c r="G316" s="280"/>
      <c r="H316" s="280"/>
      <c r="I316" s="280"/>
    </row>
    <row r="317" spans="1:9" x14ac:dyDescent="0.3">
      <c r="A317" s="337" t="str">
        <f t="shared" si="40"/>
        <v>Chi phí sản xuất và kinh doanh theo yếu tố</v>
      </c>
      <c r="B317" s="186" t="s">
        <v>1066</v>
      </c>
      <c r="C317" s="292">
        <f ca="1">C288</f>
        <v>174026262260</v>
      </c>
      <c r="D317" s="292">
        <f>D288</f>
        <v>173922831529</v>
      </c>
      <c r="E317" s="280"/>
      <c r="F317" s="280"/>
      <c r="G317" s="280"/>
      <c r="H317" s="280"/>
      <c r="I317" s="280"/>
    </row>
    <row r="318" spans="1:9" x14ac:dyDescent="0.3">
      <c r="A318" s="337" t="str">
        <f t="shared" si="40"/>
        <v>Chi phí sản xuất và kinh doanh theo yếu tố</v>
      </c>
      <c r="B318" s="186" t="s">
        <v>553</v>
      </c>
      <c r="C318" s="292">
        <f ca="1">C309+C289-C307</f>
        <v>5130028449</v>
      </c>
      <c r="D318" s="292" t="e">
        <f>D309+D289-D307</f>
        <v>#REF!</v>
      </c>
      <c r="E318" s="280"/>
      <c r="F318" s="280"/>
      <c r="G318" s="280"/>
      <c r="H318" s="280"/>
      <c r="I318" s="280"/>
    </row>
    <row r="319" spans="1:9" ht="17.25" thickBot="1" x14ac:dyDescent="0.35">
      <c r="A319" s="337" t="str">
        <f t="shared" si="40"/>
        <v>Chi phí sản xuất và kinh doanh theo yếu tố</v>
      </c>
      <c r="B319" s="186" t="s">
        <v>483</v>
      </c>
      <c r="C319" s="302">
        <f ca="1">C307</f>
        <v>19870002</v>
      </c>
      <c r="D319" s="302" t="e">
        <f>D307</f>
        <v>#REF!</v>
      </c>
      <c r="E319" s="280"/>
      <c r="F319" s="280"/>
      <c r="G319" s="280"/>
      <c r="H319" s="280"/>
      <c r="I319" s="280"/>
    </row>
    <row r="320" spans="1:9" ht="17.25" thickBot="1" x14ac:dyDescent="0.35">
      <c r="A320" s="337" t="str">
        <f t="shared" si="40"/>
        <v>Chi phí sản xuất và kinh doanh theo yếu tố</v>
      </c>
      <c r="B320" s="186"/>
      <c r="C320" s="343">
        <f ca="1">SUM(C317:C319)</f>
        <v>179176160711</v>
      </c>
      <c r="D320" s="343" t="e">
        <f>SUM(D317:D319)</f>
        <v>#REF!</v>
      </c>
      <c r="H320" s="280"/>
      <c r="I320" s="280"/>
    </row>
    <row r="321" spans="1:9" ht="17.25" thickTop="1" x14ac:dyDescent="0.3">
      <c r="A321" s="337" t="str">
        <f t="shared" si="40"/>
        <v>Chi phí sản xuất và kinh doanh theo yếu tố</v>
      </c>
      <c r="B321" s="186"/>
      <c r="C321" s="342" t="b">
        <f ca="1">C320=BC_KQKD!F13+BC_KQKD!F20</f>
        <v>1</v>
      </c>
      <c r="D321" s="342" t="e">
        <f ca="1">D320=BC_KQKD!G13+BC_KQKD!G20</f>
        <v>#REF!</v>
      </c>
      <c r="H321" s="280"/>
      <c r="I321" s="280"/>
    </row>
    <row r="322" spans="1:9" x14ac:dyDescent="0.3">
      <c r="A322" s="337" t="str">
        <f t="shared" si="40"/>
        <v>Chi phí sản xuất và kinh doanh theo yếu tố</v>
      </c>
      <c r="B322" s="186"/>
      <c r="C322" s="280"/>
      <c r="D322" s="280"/>
      <c r="E322" s="280"/>
      <c r="F322" s="280"/>
      <c r="G322" s="280"/>
      <c r="H322" s="280"/>
      <c r="I322" s="280"/>
    </row>
    <row r="323" spans="1:9" s="277" customFormat="1" x14ac:dyDescent="0.3">
      <c r="A323" s="276" t="s">
        <v>1071</v>
      </c>
      <c r="B323" s="276"/>
      <c r="C323" s="278"/>
      <c r="D323" s="278"/>
      <c r="E323" s="278"/>
      <c r="F323" s="278"/>
      <c r="G323" s="278"/>
      <c r="H323" s="278"/>
      <c r="I323" s="278"/>
    </row>
    <row r="324" spans="1:9" x14ac:dyDescent="0.3">
      <c r="A324" s="337" t="str">
        <f t="shared" si="40"/>
        <v>Thuế thu nhập</v>
      </c>
      <c r="B324" s="187" t="s">
        <v>1072</v>
      </c>
      <c r="C324" s="280"/>
      <c r="D324" s="280"/>
      <c r="E324" s="280"/>
      <c r="F324" s="280"/>
      <c r="G324" s="280"/>
      <c r="H324" s="280"/>
      <c r="I324" s="280"/>
    </row>
    <row r="325" spans="1:9" x14ac:dyDescent="0.3">
      <c r="A325" s="337" t="str">
        <f t="shared" si="40"/>
        <v>Thuế thu nhập</v>
      </c>
      <c r="B325" s="455"/>
      <c r="C325" s="351">
        <f>C314</f>
        <v>2020</v>
      </c>
      <c r="D325" s="210">
        <f>D314</f>
        <v>2019</v>
      </c>
      <c r="E325" s="280"/>
      <c r="F325" s="280"/>
      <c r="G325" s="280"/>
      <c r="H325" s="280"/>
      <c r="I325" s="280"/>
    </row>
    <row r="326" spans="1:9" x14ac:dyDescent="0.3">
      <c r="A326" s="337" t="str">
        <f t="shared" si="40"/>
        <v>Thuế thu nhập</v>
      </c>
      <c r="B326" s="455"/>
      <c r="C326" s="351" t="s">
        <v>589</v>
      </c>
      <c r="D326" s="210" t="s">
        <v>589</v>
      </c>
      <c r="E326" s="280"/>
      <c r="F326" s="280"/>
      <c r="G326" s="280"/>
      <c r="H326" s="280"/>
      <c r="I326" s="280"/>
    </row>
    <row r="327" spans="1:9" x14ac:dyDescent="0.3">
      <c r="A327" s="337" t="str">
        <f t="shared" si="40"/>
        <v>Thuế thu nhập</v>
      </c>
      <c r="B327" s="186"/>
      <c r="C327" s="353"/>
      <c r="D327" s="281"/>
      <c r="E327" s="280"/>
      <c r="F327" s="280"/>
      <c r="G327" s="280"/>
      <c r="H327" s="280"/>
      <c r="I327" s="280"/>
    </row>
    <row r="328" spans="1:9" x14ac:dyDescent="0.3">
      <c r="A328" s="337" t="str">
        <f t="shared" si="40"/>
        <v>Thuế thu nhập</v>
      </c>
      <c r="B328" s="187" t="s">
        <v>1073</v>
      </c>
      <c r="C328" s="353"/>
      <c r="D328" s="281"/>
      <c r="E328" s="280"/>
      <c r="F328" s="280"/>
      <c r="G328" s="280"/>
      <c r="H328" s="280"/>
      <c r="I328" s="280"/>
    </row>
    <row r="329" spans="1:9" x14ac:dyDescent="0.3">
      <c r="A329" s="337" t="str">
        <f t="shared" si="40"/>
        <v>Thuế thu nhập</v>
      </c>
      <c r="B329" s="186" t="s">
        <v>1074</v>
      </c>
      <c r="C329" s="282">
        <f ca="1">BC_KQKD!F31</f>
        <v>6058127530</v>
      </c>
      <c r="D329" s="282">
        <f ca="1">BC_KQKD!G31</f>
        <v>0</v>
      </c>
      <c r="E329" s="280"/>
      <c r="F329" s="280"/>
      <c r="G329" s="280"/>
      <c r="H329" s="280"/>
      <c r="I329" s="280"/>
    </row>
    <row r="330" spans="1:9" ht="17.25" thickBot="1" x14ac:dyDescent="0.35">
      <c r="A330" s="337" t="str">
        <f t="shared" si="40"/>
        <v>Thuế thu nhập</v>
      </c>
      <c r="B330" s="186"/>
      <c r="C330" s="299"/>
      <c r="D330" s="299"/>
      <c r="E330" s="280"/>
      <c r="F330" s="280"/>
      <c r="G330" s="280"/>
      <c r="H330" s="280"/>
      <c r="I330" s="280"/>
    </row>
    <row r="331" spans="1:9" ht="17.25" thickTop="1" x14ac:dyDescent="0.3">
      <c r="A331" s="337" t="str">
        <f>A330</f>
        <v>Thuế thu nhập</v>
      </c>
      <c r="B331" s="186"/>
      <c r="C331" s="280"/>
      <c r="D331" s="280"/>
      <c r="E331" s="280"/>
      <c r="F331" s="280"/>
      <c r="G331" s="280"/>
      <c r="H331" s="280"/>
      <c r="I331" s="280"/>
    </row>
    <row r="332" spans="1:9" x14ac:dyDescent="0.3">
      <c r="A332" s="337" t="str">
        <f t="shared" si="40"/>
        <v>Thuế thu nhập</v>
      </c>
      <c r="B332" s="187" t="s">
        <v>1075</v>
      </c>
      <c r="C332" s="300"/>
      <c r="D332" s="300"/>
      <c r="E332" s="280"/>
      <c r="F332" s="280"/>
      <c r="G332" s="280"/>
      <c r="H332" s="280"/>
      <c r="I332" s="280"/>
    </row>
    <row r="333" spans="1:9" x14ac:dyDescent="0.3">
      <c r="A333" s="337" t="str">
        <f>A332</f>
        <v>Thuế thu nhập</v>
      </c>
      <c r="B333" s="456"/>
      <c r="C333" s="351">
        <f>C325</f>
        <v>2020</v>
      </c>
      <c r="D333" s="210">
        <f>D325</f>
        <v>2019</v>
      </c>
      <c r="E333" s="280"/>
      <c r="F333" s="280"/>
      <c r="G333" s="280"/>
      <c r="H333" s="280"/>
      <c r="I333" s="280"/>
    </row>
    <row r="334" spans="1:9" x14ac:dyDescent="0.3">
      <c r="A334" s="337" t="str">
        <f t="shared" si="40"/>
        <v>Thuế thu nhập</v>
      </c>
      <c r="B334" s="456"/>
      <c r="C334" s="351" t="s">
        <v>589</v>
      </c>
      <c r="D334" s="210" t="s">
        <v>589</v>
      </c>
      <c r="E334" s="280"/>
      <c r="F334" s="280"/>
      <c r="G334" s="280"/>
      <c r="H334" s="280"/>
      <c r="I334" s="280"/>
    </row>
    <row r="335" spans="1:9" x14ac:dyDescent="0.3">
      <c r="A335" s="337" t="str">
        <f t="shared" si="40"/>
        <v>Thuế thu nhập</v>
      </c>
      <c r="B335" s="186"/>
      <c r="C335" s="215"/>
      <c r="D335" s="215"/>
      <c r="E335" s="280"/>
      <c r="F335" s="280"/>
      <c r="G335" s="280"/>
      <c r="H335" s="280"/>
      <c r="I335" s="280"/>
    </row>
    <row r="336" spans="1:9" x14ac:dyDescent="0.3">
      <c r="A336" s="337" t="str">
        <f t="shared" si="40"/>
        <v>Thuế thu nhập</v>
      </c>
      <c r="B336" s="186" t="s">
        <v>1076</v>
      </c>
      <c r="C336" s="312">
        <f ca="1">BC_KQKD!F30</f>
        <v>79290637648</v>
      </c>
      <c r="D336" s="312">
        <f ca="1">BC_KQKD!G30</f>
        <v>85244816784</v>
      </c>
      <c r="E336" s="280"/>
      <c r="F336" s="280"/>
      <c r="G336" s="280"/>
      <c r="H336" s="280"/>
      <c r="I336" s="280"/>
    </row>
    <row r="337" spans="1:12" ht="17.25" thickBot="1" x14ac:dyDescent="0.35">
      <c r="A337" s="337" t="str">
        <f t="shared" si="40"/>
        <v>Thuế thu nhập</v>
      </c>
      <c r="B337" s="186"/>
      <c r="C337" s="313"/>
      <c r="D337" s="313"/>
      <c r="E337" s="280"/>
      <c r="F337" s="280"/>
      <c r="G337" s="280"/>
      <c r="H337" s="280"/>
      <c r="I337" s="280"/>
    </row>
    <row r="338" spans="1:12" x14ac:dyDescent="0.3">
      <c r="A338" s="337" t="str">
        <f t="shared" si="40"/>
        <v>Thuế thu nhập</v>
      </c>
      <c r="B338" s="186"/>
      <c r="C338" s="312"/>
      <c r="D338" s="312"/>
      <c r="E338" s="280"/>
      <c r="F338" s="280"/>
      <c r="G338" s="280"/>
      <c r="H338" s="280"/>
      <c r="I338" s="280"/>
    </row>
    <row r="339" spans="1:12" x14ac:dyDescent="0.3">
      <c r="A339" s="337" t="str">
        <f t="shared" si="40"/>
        <v>Thuế thu nhập</v>
      </c>
      <c r="B339" s="186" t="s">
        <v>791</v>
      </c>
      <c r="C339" s="312">
        <f ca="1">ROUND(C336*20%,0)</f>
        <v>15858127530</v>
      </c>
      <c r="D339" s="312">
        <f ca="1">ROUND(D336*20%,0)</f>
        <v>17048963357</v>
      </c>
      <c r="E339" s="280"/>
      <c r="F339" s="280"/>
      <c r="G339" s="280"/>
      <c r="H339" s="280"/>
      <c r="I339" s="280"/>
    </row>
    <row r="340" spans="1:12" x14ac:dyDescent="0.3">
      <c r="A340" s="337" t="str">
        <f t="shared" si="40"/>
        <v>Thuế thu nhập</v>
      </c>
      <c r="B340" s="186" t="s">
        <v>786</v>
      </c>
      <c r="C340" s="312">
        <v>0</v>
      </c>
      <c r="D340" s="312">
        <v>0</v>
      </c>
      <c r="E340" s="280"/>
      <c r="F340" s="280"/>
      <c r="G340" s="280"/>
      <c r="H340" s="280"/>
      <c r="I340" s="280"/>
    </row>
    <row r="341" spans="1:12" x14ac:dyDescent="0.3">
      <c r="A341" s="337" t="str">
        <f t="shared" si="40"/>
        <v>Thuế thu nhập</v>
      </c>
      <c r="B341" s="186" t="s">
        <v>792</v>
      </c>
      <c r="C341" s="312">
        <f>200000000</f>
        <v>200000000</v>
      </c>
      <c r="D341" s="312">
        <v>0</v>
      </c>
      <c r="E341" s="314"/>
      <c r="F341" s="314"/>
      <c r="G341" s="280"/>
      <c r="H341" s="280"/>
      <c r="I341" s="280"/>
    </row>
    <row r="342" spans="1:12" x14ac:dyDescent="0.3">
      <c r="A342" s="337" t="str">
        <f t="shared" si="40"/>
        <v>Thuế thu nhập</v>
      </c>
      <c r="B342" s="186" t="s">
        <v>784</v>
      </c>
      <c r="C342" s="312">
        <f>-10000000000</f>
        <v>-10000000000</v>
      </c>
      <c r="D342" s="312">
        <v>-17048963357</v>
      </c>
      <c r="E342" s="280"/>
      <c r="F342" s="280"/>
      <c r="G342" s="280"/>
      <c r="H342" s="280"/>
      <c r="I342" s="280"/>
    </row>
    <row r="343" spans="1:12" ht="17.25" thickBot="1" x14ac:dyDescent="0.35">
      <c r="A343" s="337" t="str">
        <f t="shared" si="40"/>
        <v>Thuế thu nhập</v>
      </c>
      <c r="B343" s="186"/>
      <c r="C343" s="313"/>
      <c r="D343" s="313"/>
      <c r="E343" s="280"/>
      <c r="F343" s="280"/>
      <c r="G343" s="280"/>
      <c r="H343" s="280"/>
      <c r="I343"/>
      <c r="J343"/>
      <c r="K343"/>
      <c r="L343"/>
    </row>
    <row r="344" spans="1:12" ht="17.25" thickBot="1" x14ac:dyDescent="0.35">
      <c r="A344" s="337" t="str">
        <f t="shared" si="40"/>
        <v>Thuế thu nhập</v>
      </c>
      <c r="B344" s="186"/>
      <c r="C344" s="315">
        <f ca="1">SUM(C339:C342)</f>
        <v>6058127530</v>
      </c>
      <c r="D344" s="315">
        <f ca="1">SUM(D339:D342)</f>
        <v>0</v>
      </c>
      <c r="E344" s="280"/>
      <c r="F344" s="280"/>
      <c r="G344" s="280"/>
      <c r="H344" s="280"/>
      <c r="I344"/>
      <c r="J344"/>
      <c r="K344"/>
      <c r="L344"/>
    </row>
    <row r="345" spans="1:12" ht="17.25" thickTop="1" x14ac:dyDescent="0.3">
      <c r="A345" s="337" t="str">
        <f t="shared" si="40"/>
        <v>Thuế thu nhập</v>
      </c>
      <c r="B345" s="186"/>
      <c r="C345" s="342" t="b">
        <f ca="1">C344=C329</f>
        <v>1</v>
      </c>
      <c r="D345" s="342" t="b">
        <f ca="1">D344=D329</f>
        <v>1</v>
      </c>
      <c r="E345" s="280"/>
      <c r="F345" s="280"/>
      <c r="G345" s="280"/>
      <c r="H345" s="280"/>
      <c r="I345"/>
      <c r="J345"/>
      <c r="K345"/>
      <c r="L345"/>
    </row>
    <row r="346" spans="1:12" x14ac:dyDescent="0.3">
      <c r="A346" s="337"/>
      <c r="B346" s="352"/>
      <c r="C346" s="342"/>
      <c r="D346" s="342"/>
      <c r="E346" s="280"/>
      <c r="F346" s="280"/>
      <c r="G346" s="280"/>
      <c r="H346" s="280"/>
      <c r="I346"/>
      <c r="J346"/>
      <c r="K346"/>
      <c r="L346"/>
    </row>
    <row r="347" spans="1:12" s="277" customFormat="1" x14ac:dyDescent="0.3">
      <c r="A347" s="276" t="s">
        <v>1077</v>
      </c>
      <c r="B347" s="276"/>
      <c r="C347" s="278"/>
      <c r="D347" s="278"/>
      <c r="E347" s="278"/>
      <c r="F347" s="278"/>
      <c r="G347" s="278"/>
      <c r="H347" s="278"/>
      <c r="I347" s="278"/>
    </row>
    <row r="348" spans="1:12" x14ac:dyDescent="0.3">
      <c r="A348" s="337" t="str">
        <f t="shared" ref="A348:A363" si="41">A347</f>
        <v>Các giao dịch chủ yếu với các bên liên quan</v>
      </c>
      <c r="B348" s="186" t="s">
        <v>1078</v>
      </c>
      <c r="C348" s="280"/>
      <c r="D348" s="280"/>
      <c r="E348" s="280"/>
      <c r="F348" s="280"/>
      <c r="G348" s="280"/>
      <c r="H348" s="280"/>
      <c r="I348" s="280"/>
    </row>
    <row r="349" spans="1:12" x14ac:dyDescent="0.3">
      <c r="A349" s="337" t="str">
        <f t="shared" si="41"/>
        <v>Các giao dịch chủ yếu với các bên liên quan</v>
      </c>
      <c r="B349" s="186"/>
      <c r="C349" s="352"/>
      <c r="D349" s="460" t="s">
        <v>1089</v>
      </c>
      <c r="E349" s="460"/>
      <c r="F349" s="460"/>
      <c r="G349" s="280"/>
      <c r="H349" s="280"/>
      <c r="I349" s="280"/>
    </row>
    <row r="350" spans="1:12" x14ac:dyDescent="0.3">
      <c r="A350" s="337" t="str">
        <f t="shared" si="41"/>
        <v>Các giao dịch chủ yếu với các bên liên quan</v>
      </c>
      <c r="B350" s="456"/>
      <c r="C350" s="354"/>
      <c r="D350" s="187"/>
      <c r="E350" s="424" t="s">
        <v>1085</v>
      </c>
      <c r="F350" s="424" t="s">
        <v>1086</v>
      </c>
      <c r="G350" s="280"/>
      <c r="H350" s="280"/>
      <c r="I350" s="280"/>
    </row>
    <row r="351" spans="1:12" x14ac:dyDescent="0.3">
      <c r="A351" s="337" t="str">
        <f t="shared" si="41"/>
        <v>Các giao dịch chủ yếu với các bên liên quan</v>
      </c>
      <c r="B351" s="456"/>
      <c r="C351" s="354"/>
      <c r="D351" s="187"/>
      <c r="E351" s="210" t="s">
        <v>589</v>
      </c>
      <c r="F351" s="210" t="s">
        <v>589</v>
      </c>
      <c r="G351" s="280"/>
      <c r="H351" s="280"/>
      <c r="I351" s="280"/>
    </row>
    <row r="352" spans="1:12" x14ac:dyDescent="0.3">
      <c r="A352" s="337" t="str">
        <f t="shared" si="41"/>
        <v>Các giao dịch chủ yếu với các bên liên quan</v>
      </c>
      <c r="B352" s="187"/>
      <c r="C352" s="352"/>
      <c r="D352" s="186"/>
      <c r="E352" s="186"/>
      <c r="F352" s="281"/>
      <c r="G352" s="280"/>
      <c r="H352" s="280"/>
      <c r="I352" s="280"/>
    </row>
    <row r="353" spans="1:9" x14ac:dyDescent="0.3">
      <c r="A353" s="337" t="str">
        <f t="shared" si="41"/>
        <v>Các giao dịch chủ yếu với các bên liên quan</v>
      </c>
      <c r="B353" s="319" t="s">
        <v>1079</v>
      </c>
      <c r="C353" s="352"/>
      <c r="D353" s="186"/>
      <c r="E353" s="186"/>
      <c r="F353" s="290"/>
      <c r="G353" s="280"/>
      <c r="H353" s="280"/>
      <c r="I353" s="280"/>
    </row>
    <row r="354" spans="1:9" x14ac:dyDescent="0.3">
      <c r="A354" s="337" t="str">
        <f t="shared" si="41"/>
        <v>Các giao dịch chủ yếu với các bên liên quan</v>
      </c>
      <c r="B354" s="187" t="s">
        <v>1080</v>
      </c>
      <c r="C354" s="352"/>
      <c r="D354" s="186"/>
      <c r="E354" s="186"/>
      <c r="F354" s="290"/>
      <c r="G354" s="280"/>
      <c r="H354" s="280"/>
      <c r="I354" s="280"/>
    </row>
    <row r="355" spans="1:9" x14ac:dyDescent="0.3">
      <c r="A355" s="337" t="str">
        <f t="shared" si="41"/>
        <v>Các giao dịch chủ yếu với các bên liên quan</v>
      </c>
      <c r="B355" s="186" t="s">
        <v>1081</v>
      </c>
      <c r="C355" s="352"/>
      <c r="D355" s="186"/>
      <c r="E355" s="205">
        <v>0</v>
      </c>
      <c r="F355" s="292">
        <v>39000000</v>
      </c>
      <c r="G355" s="280"/>
      <c r="H355" s="280"/>
      <c r="I355" s="280"/>
    </row>
    <row r="356" spans="1:9" x14ac:dyDescent="0.3">
      <c r="A356" s="337" t="str">
        <f t="shared" si="41"/>
        <v>Các giao dịch chủ yếu với các bên liên quan</v>
      </c>
      <c r="B356" s="186" t="s">
        <v>1082</v>
      </c>
      <c r="C356" s="352"/>
      <c r="D356" s="186"/>
      <c r="E356" s="205">
        <v>0</v>
      </c>
      <c r="F356" s="292">
        <v>10165166</v>
      </c>
      <c r="G356" s="280"/>
      <c r="H356" s="280"/>
      <c r="I356" s="280"/>
    </row>
    <row r="357" spans="1:9" x14ac:dyDescent="0.3">
      <c r="A357" s="337" t="str">
        <f t="shared" si="41"/>
        <v>Các giao dịch chủ yếu với các bên liên quan</v>
      </c>
      <c r="B357" s="186"/>
      <c r="C357" s="352"/>
      <c r="D357" s="186"/>
      <c r="E357" s="186"/>
      <c r="F357" s="290"/>
      <c r="G357" s="280"/>
      <c r="H357" s="280"/>
      <c r="I357" s="280"/>
    </row>
    <row r="358" spans="1:9" x14ac:dyDescent="0.3">
      <c r="A358" s="337" t="str">
        <f t="shared" si="41"/>
        <v>Các giao dịch chủ yếu với các bên liên quan</v>
      </c>
      <c r="B358" s="319" t="s">
        <v>1083</v>
      </c>
      <c r="C358" s="352"/>
      <c r="D358" s="186"/>
      <c r="E358" s="186"/>
      <c r="F358" s="290"/>
      <c r="G358" s="280"/>
      <c r="H358" s="280"/>
      <c r="I358" s="280"/>
    </row>
    <row r="359" spans="1:9" x14ac:dyDescent="0.3">
      <c r="A359" s="337" t="str">
        <f t="shared" si="41"/>
        <v>Các giao dịch chủ yếu với các bên liên quan</v>
      </c>
      <c r="B359" s="187" t="s">
        <v>1084</v>
      </c>
      <c r="C359" s="354"/>
      <c r="D359" s="454"/>
      <c r="E359" s="454"/>
      <c r="F359" s="290"/>
      <c r="G359" s="280"/>
      <c r="H359" s="280"/>
      <c r="I359" s="280"/>
    </row>
    <row r="360" spans="1:9" ht="18.75" customHeight="1" x14ac:dyDescent="0.3">
      <c r="A360" s="337" t="str">
        <f t="shared" si="41"/>
        <v>Các giao dịch chủ yếu với các bên liên quan</v>
      </c>
      <c r="B360" s="186" t="s">
        <v>1088</v>
      </c>
      <c r="C360" s="352"/>
      <c r="D360" s="186"/>
      <c r="E360" s="320">
        <f ca="1">BC_TinhHinh_TaiChinh!F114-BC_TinhHinh_TaiChinh!G114+E361</f>
        <v>1852647726156</v>
      </c>
      <c r="F360" s="339">
        <v>0</v>
      </c>
      <c r="G360" s="280"/>
      <c r="H360" s="280"/>
      <c r="I360" s="280"/>
    </row>
    <row r="361" spans="1:9" x14ac:dyDescent="0.3">
      <c r="A361" s="337" t="str">
        <f t="shared" si="41"/>
        <v>Các giao dịch chủ yếu với các bên liên quan</v>
      </c>
      <c r="B361" s="186" t="s">
        <v>1087</v>
      </c>
      <c r="C361" s="352"/>
      <c r="D361" s="186"/>
      <c r="E361" s="291">
        <v>259666666668</v>
      </c>
      <c r="F361" s="291">
        <v>259666666668</v>
      </c>
      <c r="G361" s="280"/>
      <c r="H361" s="280"/>
      <c r="I361" s="280"/>
    </row>
    <row r="362" spans="1:9" ht="17.25" thickBot="1" x14ac:dyDescent="0.35">
      <c r="A362" s="337" t="str">
        <f t="shared" si="41"/>
        <v>Các giao dịch chủ yếu với các bên liên quan</v>
      </c>
      <c r="B362" s="186"/>
      <c r="C362" s="352"/>
      <c r="D362" s="352"/>
      <c r="E362" s="298"/>
      <c r="F362" s="299"/>
      <c r="G362" s="280"/>
      <c r="H362" s="280"/>
      <c r="I362" s="280"/>
    </row>
    <row r="363" spans="1:9" ht="17.25" thickTop="1" x14ac:dyDescent="0.3">
      <c r="A363" s="337" t="str">
        <f t="shared" si="41"/>
        <v>Các giao dịch chủ yếu với các bên liên quan</v>
      </c>
      <c r="C363" s="352"/>
      <c r="D363" s="352"/>
    </row>
  </sheetData>
  <autoFilter ref="A4:K363"/>
  <mergeCells count="27">
    <mergeCell ref="B205:E205"/>
    <mergeCell ref="D160:D161"/>
    <mergeCell ref="B182:B183"/>
    <mergeCell ref="B196:B197"/>
    <mergeCell ref="C196:C197"/>
    <mergeCell ref="D196:D197"/>
    <mergeCell ref="B100:B101"/>
    <mergeCell ref="B160:B161"/>
    <mergeCell ref="C160:C161"/>
    <mergeCell ref="D349:F349"/>
    <mergeCell ref="B350:B351"/>
    <mergeCell ref="B277:B278"/>
    <mergeCell ref="B221:B222"/>
    <mergeCell ref="B240:B241"/>
    <mergeCell ref="D256:E256"/>
    <mergeCell ref="F256:G256"/>
    <mergeCell ref="D264:E264"/>
    <mergeCell ref="D265:E265"/>
    <mergeCell ref="D268:E268"/>
    <mergeCell ref="B231:B232"/>
    <mergeCell ref="E196:E197"/>
    <mergeCell ref="B203:E203"/>
    <mergeCell ref="D359:E359"/>
    <mergeCell ref="B285:B286"/>
    <mergeCell ref="B314:B315"/>
    <mergeCell ref="B325:B326"/>
    <mergeCell ref="B333:B334"/>
  </mergeCells>
  <conditionalFormatting sqref="H26:XFD28 H320:XFD321 L285:XFD293 H56 H62 E83:XFD85 I76:XFD76 B81:B82 B86 A53:A86 A2:B13 O13:XFD13 O16:XFD21 Q15:XFD15 O15 Q29:XFD29 A15:B32 S238:XFD238 A220:B224 A313:B314 B315:B322 A302:B303 A323:B324 B299:B300 B325:B346 M343:XFD346 L13:M13 F8:G8 L8:XFD12 L15:M15 D221:E224 D238:L238 D32:XFD32 D86:XFD86 D70:XFD75 D57:H61 D76:F76 D2:XFD3 D63:H69 J56:XFD69 F224:G224 D4:D13 F4:XFD7 D15:D31 F30:XFD31 F12:G13 F29:O29 F22:XFD25 F16:M21 F15:G15 B53:B78 D77:XFD82 D220:XFD220 E92:E96 G97:H103 C93:D96 C89:E91 I97:I110 J89:XFD110 A100:A105 D43:XFD55 A43:B52 A238:B238 F221:I223 H229:XFD229 F228:I228 L221:XFD224 I224 F231:I233 F237:I237 L231:XFD237 I234:I236 A160:A166 G157:G171 A182:A190 E182:E190 F167:F171 F206:G209 H158:XFD171 A196:A205 D239:XFD239 A239:C246 E240:XFD245 E246:G246 I246:XFD246 E248:XFD250 D251:XFD276 A248:C294 D277:D294 F277:XFD284 F285:F293 F294:XFD294 F302:XFD303 F322:XFD342 F299:XFD300 D308 F343:H344 A307:A323 A305:B306 B307:B312 D305:D306 C307:D307 A304:D304 E304:XFD319 D310:D328 E345:H346 A325:A347 E362:XFD363 A362:B363 A347:XFD361 A364:XFD1048576 D330:D344 I226:I227 L226:XFD228 F226:G227 D226:E229 A226:B229 H182:XFD209 F182:G195">
    <cfRule type="containsText" dxfId="342" priority="403" operator="containsText" text="FALSE">
      <formula>NOT(ISERROR(SEARCH("FALSE",A2)))</formula>
    </cfRule>
    <cfRule type="containsText" dxfId="341" priority="404" operator="containsText" text="TRUE">
      <formula>NOT(ISERROR(SEARCH("TRUE",A2)))</formula>
    </cfRule>
  </conditionalFormatting>
  <conditionalFormatting sqref="D83:D85">
    <cfRule type="containsText" dxfId="340" priority="395" operator="containsText" text="FALSE">
      <formula>NOT(ISERROR(SEARCH("FALSE",D83)))</formula>
    </cfRule>
    <cfRule type="containsText" dxfId="339" priority="396" operator="containsText" text="TRUE">
      <formula>NOT(ISERROR(SEARCH("TRUE",D83)))</formula>
    </cfRule>
  </conditionalFormatting>
  <conditionalFormatting sqref="D56:G56">
    <cfRule type="containsText" dxfId="338" priority="399" operator="containsText" text="FALSE">
      <formula>NOT(ISERROR(SEARCH("FALSE",D56)))</formula>
    </cfRule>
    <cfRule type="containsText" dxfId="337" priority="400" operator="containsText" text="TRUE">
      <formula>NOT(ISERROR(SEARCH("TRUE",D56)))</formula>
    </cfRule>
  </conditionalFormatting>
  <conditionalFormatting sqref="D62:F62">
    <cfRule type="containsText" dxfId="336" priority="397" operator="containsText" text="FALSE">
      <formula>NOT(ISERROR(SEARCH("FALSE",D62)))</formula>
    </cfRule>
    <cfRule type="containsText" dxfId="335" priority="398" operator="containsText" text="TRUE">
      <formula>NOT(ISERROR(SEARCH("TRUE",D62)))</formula>
    </cfRule>
  </conditionalFormatting>
  <conditionalFormatting sqref="B83">
    <cfRule type="containsText" dxfId="334" priority="391" operator="containsText" text="FALSE">
      <formula>NOT(ISERROR(SEARCH("FALSE",B83)))</formula>
    </cfRule>
    <cfRule type="containsText" dxfId="333" priority="392" operator="containsText" text="TRUE">
      <formula>NOT(ISERROR(SEARCH("TRUE",B83)))</formula>
    </cfRule>
  </conditionalFormatting>
  <conditionalFormatting sqref="B85">
    <cfRule type="containsText" dxfId="332" priority="389" operator="containsText" text="FALSE">
      <formula>NOT(ISERROR(SEARCH("FALSE",B85)))</formula>
    </cfRule>
    <cfRule type="containsText" dxfId="331" priority="390" operator="containsText" text="TRUE">
      <formula>NOT(ISERROR(SEARCH("TRUE",B85)))</formula>
    </cfRule>
  </conditionalFormatting>
  <conditionalFormatting sqref="B84">
    <cfRule type="containsText" dxfId="330" priority="385" operator="containsText" text="FALSE">
      <formula>NOT(ISERROR(SEARCH("FALSE",B84)))</formula>
    </cfRule>
    <cfRule type="containsText" dxfId="329" priority="386" operator="containsText" text="TRUE">
      <formula>NOT(ISERROR(SEARCH("TRUE",B84)))</formula>
    </cfRule>
  </conditionalFormatting>
  <conditionalFormatting sqref="B79">
    <cfRule type="containsText" dxfId="328" priority="383" operator="containsText" text="FALSE">
      <formula>NOT(ISERROR(SEARCH("FALSE",B79)))</formula>
    </cfRule>
    <cfRule type="containsText" dxfId="327" priority="384" operator="containsText" text="TRUE">
      <formula>NOT(ISERROR(SEARCH("TRUE",B79)))</formula>
    </cfRule>
  </conditionalFormatting>
  <conditionalFormatting sqref="A14:B14 L14:XFD14 D14 F14:G14">
    <cfRule type="containsText" dxfId="326" priority="381" operator="containsText" text="FALSE">
      <formula>NOT(ISERROR(SEARCH("FALSE",A14)))</formula>
    </cfRule>
    <cfRule type="containsText" dxfId="325" priority="382" operator="containsText" text="TRUE">
      <formula>NOT(ISERROR(SEARCH("TRUE",A14)))</formula>
    </cfRule>
  </conditionalFormatting>
  <conditionalFormatting sqref="G229">
    <cfRule type="containsText" dxfId="324" priority="375" operator="containsText" text="FALSE">
      <formula>NOT(ISERROR(SEARCH("FALSE",G229)))</formula>
    </cfRule>
    <cfRule type="containsText" dxfId="323" priority="376" operator="containsText" text="TRUE">
      <formula>NOT(ISERROR(SEARCH("TRUE",G229)))</formula>
    </cfRule>
  </conditionalFormatting>
  <conditionalFormatting sqref="F229">
    <cfRule type="containsText" dxfId="322" priority="373" operator="containsText" text="FALSE">
      <formula>NOT(ISERROR(SEARCH("FALSE",F229)))</formula>
    </cfRule>
    <cfRule type="containsText" dxfId="321" priority="374" operator="containsText" text="TRUE">
      <formula>NOT(ISERROR(SEARCH("TRUE",F229)))</formula>
    </cfRule>
  </conditionalFormatting>
  <conditionalFormatting sqref="A301:B301 D301 F301:XFD301">
    <cfRule type="containsText" dxfId="320" priority="369" operator="containsText" text="FALSE">
      <formula>NOT(ISERROR(SEARCH("FALSE",A301)))</formula>
    </cfRule>
    <cfRule type="containsText" dxfId="319" priority="370" operator="containsText" text="TRUE">
      <formula>NOT(ISERROR(SEARCH("TRUE",A301)))</formula>
    </cfRule>
  </conditionalFormatting>
  <conditionalFormatting sqref="D302:D303">
    <cfRule type="containsText" dxfId="318" priority="367" operator="containsText" text="FALSE">
      <formula>NOT(ISERROR(SEARCH("FALSE",D302)))</formula>
    </cfRule>
    <cfRule type="containsText" dxfId="317" priority="368" operator="containsText" text="TRUE">
      <formula>NOT(ISERROR(SEARCH("TRUE",D302)))</formula>
    </cfRule>
  </conditionalFormatting>
  <conditionalFormatting sqref="D296:D297">
    <cfRule type="containsText" dxfId="316" priority="355" operator="containsText" text="FALSE">
      <formula>NOT(ISERROR(SEARCH("FALSE",D296)))</formula>
    </cfRule>
    <cfRule type="containsText" dxfId="315" priority="356" operator="containsText" text="TRUE">
      <formula>NOT(ISERROR(SEARCH("TRUE",D296)))</formula>
    </cfRule>
  </conditionalFormatting>
  <conditionalFormatting sqref="A296:A300">
    <cfRule type="containsText" dxfId="314" priority="353" operator="containsText" text="FALSE">
      <formula>NOT(ISERROR(SEARCH("FALSE",A296)))</formula>
    </cfRule>
    <cfRule type="containsText" dxfId="313" priority="354" operator="containsText" text="TRUE">
      <formula>NOT(ISERROR(SEARCH("TRUE",A296)))</formula>
    </cfRule>
  </conditionalFormatting>
  <conditionalFormatting sqref="H14">
    <cfRule type="containsText" dxfId="312" priority="351" operator="containsText" text="FALSE">
      <formula>NOT(ISERROR(SEARCH("FALSE",H14)))</formula>
    </cfRule>
    <cfRule type="containsText" dxfId="311" priority="352" operator="containsText" text="TRUE">
      <formula>NOT(ISERROR(SEARCH("TRUE",H14)))</formula>
    </cfRule>
  </conditionalFormatting>
  <conditionalFormatting sqref="A295:B295 B296:B298 D295 F295:XFD298">
    <cfRule type="containsText" dxfId="310" priority="357" operator="containsText" text="FALSE">
      <formula>NOT(ISERROR(SEARCH("FALSE",A295)))</formula>
    </cfRule>
    <cfRule type="containsText" dxfId="309" priority="358" operator="containsText" text="TRUE">
      <formula>NOT(ISERROR(SEARCH("TRUE",A295)))</formula>
    </cfRule>
  </conditionalFormatting>
  <conditionalFormatting sqref="I14">
    <cfRule type="containsText" dxfId="308" priority="349" operator="containsText" text="FALSE">
      <formula>NOT(ISERROR(SEARCH("FALSE",I14)))</formula>
    </cfRule>
    <cfRule type="containsText" dxfId="307" priority="350" operator="containsText" text="TRUE">
      <formula>NOT(ISERROR(SEARCH("TRUE",I14)))</formula>
    </cfRule>
  </conditionalFormatting>
  <conditionalFormatting sqref="J14">
    <cfRule type="containsText" dxfId="306" priority="347" operator="containsText" text="FALSE">
      <formula>NOT(ISERROR(SEARCH("FALSE",J14)))</formula>
    </cfRule>
    <cfRule type="containsText" dxfId="305" priority="348" operator="containsText" text="TRUE">
      <formula>NOT(ISERROR(SEARCH("TRUE",J14)))</formula>
    </cfRule>
  </conditionalFormatting>
  <conditionalFormatting sqref="K14">
    <cfRule type="containsText" dxfId="304" priority="345" operator="containsText" text="FALSE">
      <formula>NOT(ISERROR(SEARCH("FALSE",K14)))</formula>
    </cfRule>
    <cfRule type="containsText" dxfId="303" priority="346" operator="containsText" text="TRUE">
      <formula>NOT(ISERROR(SEARCH("TRUE",K14)))</formula>
    </cfRule>
  </conditionalFormatting>
  <conditionalFormatting sqref="C299:C300 C73:C82 C308:C344 C15:C32 C86 C238 C2:C8 C11:C13 C220:C224 C43:C52 C226:C229">
    <cfRule type="containsText" dxfId="302" priority="343" operator="containsText" text="FALSE">
      <formula>NOT(ISERROR(SEARCH("FALSE",C2)))</formula>
    </cfRule>
    <cfRule type="containsText" dxfId="301" priority="344" operator="containsText" text="TRUE">
      <formula>NOT(ISERROR(SEARCH("TRUE",C2)))</formula>
    </cfRule>
  </conditionalFormatting>
  <conditionalFormatting sqref="C14">
    <cfRule type="containsText" dxfId="300" priority="335" operator="containsText" text="FALSE">
      <formula>NOT(ISERROR(SEARCH("FALSE",C14)))</formula>
    </cfRule>
    <cfRule type="containsText" dxfId="299" priority="336" operator="containsText" text="TRUE">
      <formula>NOT(ISERROR(SEARCH("TRUE",C14)))</formula>
    </cfRule>
  </conditionalFormatting>
  <conditionalFormatting sqref="C83:C85">
    <cfRule type="containsText" dxfId="298" priority="337" operator="containsText" text="FALSE">
      <formula>NOT(ISERROR(SEARCH("FALSE",C83)))</formula>
    </cfRule>
    <cfRule type="containsText" dxfId="297" priority="338" operator="containsText" text="TRUE">
      <formula>NOT(ISERROR(SEARCH("TRUE",C83)))</formula>
    </cfRule>
  </conditionalFormatting>
  <conditionalFormatting sqref="C301">
    <cfRule type="containsText" dxfId="296" priority="331" operator="containsText" text="FALSE">
      <formula>NOT(ISERROR(SEARCH("FALSE",C301)))</formula>
    </cfRule>
    <cfRule type="containsText" dxfId="295" priority="332" operator="containsText" text="TRUE">
      <formula>NOT(ISERROR(SEARCH("TRUE",C301)))</formula>
    </cfRule>
  </conditionalFormatting>
  <conditionalFormatting sqref="C302:C303">
    <cfRule type="containsText" dxfId="294" priority="329" operator="containsText" text="FALSE">
      <formula>NOT(ISERROR(SEARCH("FALSE",C302)))</formula>
    </cfRule>
    <cfRule type="containsText" dxfId="293" priority="330" operator="containsText" text="TRUE">
      <formula>NOT(ISERROR(SEARCH("TRUE",C302)))</formula>
    </cfRule>
  </conditionalFormatting>
  <conditionalFormatting sqref="C298 C295">
    <cfRule type="containsText" dxfId="292" priority="327" operator="containsText" text="FALSE">
      <formula>NOT(ISERROR(SEARCH("FALSE",C295)))</formula>
    </cfRule>
    <cfRule type="containsText" dxfId="291" priority="328" operator="containsText" text="TRUE">
      <formula>NOT(ISERROR(SEARCH("TRUE",C295)))</formula>
    </cfRule>
  </conditionalFormatting>
  <conditionalFormatting sqref="C296:C297">
    <cfRule type="containsText" dxfId="290" priority="325" operator="containsText" text="FALSE">
      <formula>NOT(ISERROR(SEARCH("FALSE",C296)))</formula>
    </cfRule>
    <cfRule type="containsText" dxfId="289" priority="326" operator="containsText" text="TRUE">
      <formula>NOT(ISERROR(SEARCH("TRUE",C296)))</formula>
    </cfRule>
  </conditionalFormatting>
  <conditionalFormatting sqref="C53:C72">
    <cfRule type="containsText" dxfId="288" priority="323" operator="containsText" text="FALSE">
      <formula>NOT(ISERROR(SEARCH("FALSE",C53)))</formula>
    </cfRule>
    <cfRule type="containsText" dxfId="287" priority="324" operator="containsText" text="TRUE">
      <formula>NOT(ISERROR(SEARCH("TRUE",C53)))</formula>
    </cfRule>
  </conditionalFormatting>
  <conditionalFormatting sqref="I56:I69">
    <cfRule type="containsText" dxfId="286" priority="321" operator="containsText" text="FALSE">
      <formula>NOT(ISERROR(SEARCH("FALSE",I56)))</formula>
    </cfRule>
    <cfRule type="containsText" dxfId="285" priority="322" operator="containsText" text="TRUE">
      <formula>NOT(ISERROR(SEARCH("TRUE",I56)))</formula>
    </cfRule>
  </conditionalFormatting>
  <conditionalFormatting sqref="G62">
    <cfRule type="containsText" dxfId="284" priority="319" operator="containsText" text="FALSE">
      <formula>NOT(ISERROR(SEARCH("FALSE",G62)))</formula>
    </cfRule>
    <cfRule type="containsText" dxfId="283" priority="320" operator="containsText" text="TRUE">
      <formula>NOT(ISERROR(SEARCH("TRUE",G62)))</formula>
    </cfRule>
  </conditionalFormatting>
  <conditionalFormatting sqref="H227">
    <cfRule type="containsText" dxfId="282" priority="317" operator="containsText" text="FALSE">
      <formula>NOT(ISERROR(SEARCH("FALSE",H227)))</formula>
    </cfRule>
    <cfRule type="containsText" dxfId="281" priority="318" operator="containsText" text="TRUE">
      <formula>NOT(ISERROR(SEARCH("TRUE",H227)))</formula>
    </cfRule>
  </conditionalFormatting>
  <conditionalFormatting sqref="A230:B233 D231:E237 D230:XFD230 F234:G236 A236:B237 A234:A235">
    <cfRule type="containsText" dxfId="280" priority="315" operator="containsText" text="FALSE">
      <formula>NOT(ISERROR(SEARCH("FALSE",A230)))</formula>
    </cfRule>
    <cfRule type="containsText" dxfId="279" priority="316" operator="containsText" text="TRUE">
      <formula>NOT(ISERROR(SEARCH("TRUE",A230)))</formula>
    </cfRule>
  </conditionalFormatting>
  <conditionalFormatting sqref="C230:C237">
    <cfRule type="containsText" dxfId="278" priority="305" operator="containsText" text="FALSE">
      <formula>NOT(ISERROR(SEARCH("FALSE",C230)))</formula>
    </cfRule>
    <cfRule type="containsText" dxfId="277" priority="306" operator="containsText" text="TRUE">
      <formula>NOT(ISERROR(SEARCH("TRUE",C230)))</formula>
    </cfRule>
  </conditionalFormatting>
  <conditionalFormatting sqref="H236">
    <cfRule type="containsText" dxfId="276" priority="303" operator="containsText" text="FALSE">
      <formula>NOT(ISERROR(SEARCH("FALSE",H236)))</formula>
    </cfRule>
    <cfRule type="containsText" dxfId="275" priority="304" operator="containsText" text="TRUE">
      <formula>NOT(ISERROR(SEARCH("TRUE",H236)))</formula>
    </cfRule>
  </conditionalFormatting>
  <conditionalFormatting sqref="E4:E8 E12:E13 E29:E31 E15:E25">
    <cfRule type="containsText" dxfId="274" priority="301" operator="containsText" text="FALSE">
      <formula>NOT(ISERROR(SEARCH("FALSE",E4)))</formula>
    </cfRule>
    <cfRule type="containsText" dxfId="273" priority="302" operator="containsText" text="TRUE">
      <formula>NOT(ISERROR(SEARCH("TRUE",E4)))</formula>
    </cfRule>
  </conditionalFormatting>
  <conditionalFormatting sqref="E14">
    <cfRule type="containsText" dxfId="272" priority="299" operator="containsText" text="FALSE">
      <formula>NOT(ISERROR(SEARCH("FALSE",E14)))</formula>
    </cfRule>
    <cfRule type="containsText" dxfId="271" priority="300" operator="containsText" text="TRUE">
      <formula>NOT(ISERROR(SEARCH("TRUE",E14)))</formula>
    </cfRule>
  </conditionalFormatting>
  <conditionalFormatting sqref="C9:C10">
    <cfRule type="containsText" dxfId="270" priority="295" operator="containsText" text="FALSE">
      <formula>NOT(ISERROR(SEARCH("FALSE",C9)))</formula>
    </cfRule>
    <cfRule type="containsText" dxfId="269" priority="296" operator="containsText" text="TRUE">
      <formula>NOT(ISERROR(SEARCH("TRUE",C9)))</formula>
    </cfRule>
  </conditionalFormatting>
  <conditionalFormatting sqref="D92 D87:XFD88 D104:H110 A87:B99 A106:B110">
    <cfRule type="containsText" dxfId="268" priority="293" operator="containsText" text="FALSE">
      <formula>NOT(ISERROR(SEARCH("FALSE",A87)))</formula>
    </cfRule>
    <cfRule type="containsText" dxfId="267" priority="294" operator="containsText" text="TRUE">
      <formula>NOT(ISERROR(SEARCH("TRUE",A87)))</formula>
    </cfRule>
  </conditionalFormatting>
  <conditionalFormatting sqref="C92">
    <cfRule type="containsText" dxfId="266" priority="291" operator="containsText" text="FALSE">
      <formula>NOT(ISERROR(SEARCH("FALSE",C92)))</formula>
    </cfRule>
    <cfRule type="containsText" dxfId="265" priority="292" operator="containsText" text="TRUE">
      <formula>NOT(ISERROR(SEARCH("TRUE",C92)))</formula>
    </cfRule>
  </conditionalFormatting>
  <conditionalFormatting sqref="C87:C88">
    <cfRule type="containsText" dxfId="264" priority="289" operator="containsText" text="FALSE">
      <formula>NOT(ISERROR(SEARCH("FALSE",C87)))</formula>
    </cfRule>
    <cfRule type="containsText" dxfId="263" priority="290" operator="containsText" text="TRUE">
      <formula>NOT(ISERROR(SEARCH("TRUE",C87)))</formula>
    </cfRule>
  </conditionalFormatting>
  <conditionalFormatting sqref="C97:C99">
    <cfRule type="containsText" dxfId="262" priority="287" operator="containsText" text="FALSE">
      <formula>NOT(ISERROR(SEARCH("FALSE",C97)))</formula>
    </cfRule>
    <cfRule type="containsText" dxfId="261" priority="288" operator="containsText" text="TRUE">
      <formula>NOT(ISERROR(SEARCH("TRUE",C97)))</formula>
    </cfRule>
  </conditionalFormatting>
  <conditionalFormatting sqref="D97:F103 F89:F96">
    <cfRule type="containsText" dxfId="260" priority="283" operator="containsText" text="FALSE">
      <formula>NOT(ISERROR(SEARCH("FALSE",D89)))</formula>
    </cfRule>
    <cfRule type="containsText" dxfId="259" priority="284" operator="containsText" text="TRUE">
      <formula>NOT(ISERROR(SEARCH("TRUE",D89)))</formula>
    </cfRule>
  </conditionalFormatting>
  <conditionalFormatting sqref="C106:C110">
    <cfRule type="containsText" dxfId="258" priority="281" operator="containsText" text="FALSE">
      <formula>NOT(ISERROR(SEARCH("FALSE",C106)))</formula>
    </cfRule>
    <cfRule type="containsText" dxfId="257" priority="282" operator="containsText" text="TRUE">
      <formula>NOT(ISERROR(SEARCH("TRUE",C106)))</formula>
    </cfRule>
  </conditionalFormatting>
  <conditionalFormatting sqref="O35:XFD42 Q34:XFD34 O34 A34:B42 L34:M34 D34:D38 F35:M42 F34:G34 D40:D42">
    <cfRule type="containsText" dxfId="256" priority="279" operator="containsText" text="FALSE">
      <formula>NOT(ISERROR(SEARCH("FALSE",A34)))</formula>
    </cfRule>
    <cfRule type="containsText" dxfId="255" priority="280" operator="containsText" text="TRUE">
      <formula>NOT(ISERROR(SEARCH("TRUE",A34)))</formula>
    </cfRule>
  </conditionalFormatting>
  <conditionalFormatting sqref="A33:B33 L33:XFD33 D33 F33:G33">
    <cfRule type="containsText" dxfId="254" priority="277" operator="containsText" text="FALSE">
      <formula>NOT(ISERROR(SEARCH("FALSE",A33)))</formula>
    </cfRule>
    <cfRule type="containsText" dxfId="253" priority="278" operator="containsText" text="TRUE">
      <formula>NOT(ISERROR(SEARCH("TRUE",A33)))</formula>
    </cfRule>
  </conditionalFormatting>
  <conditionalFormatting sqref="H33">
    <cfRule type="containsText" dxfId="252" priority="275" operator="containsText" text="FALSE">
      <formula>NOT(ISERROR(SEARCH("FALSE",H33)))</formula>
    </cfRule>
    <cfRule type="containsText" dxfId="251" priority="276" operator="containsText" text="TRUE">
      <formula>NOT(ISERROR(SEARCH("TRUE",H33)))</formula>
    </cfRule>
  </conditionalFormatting>
  <conditionalFormatting sqref="I33">
    <cfRule type="containsText" dxfId="250" priority="273" operator="containsText" text="FALSE">
      <formula>NOT(ISERROR(SEARCH("FALSE",I33)))</formula>
    </cfRule>
    <cfRule type="containsText" dxfId="249" priority="274" operator="containsText" text="TRUE">
      <formula>NOT(ISERROR(SEARCH("TRUE",I33)))</formula>
    </cfRule>
  </conditionalFormatting>
  <conditionalFormatting sqref="J33">
    <cfRule type="containsText" dxfId="248" priority="271" operator="containsText" text="FALSE">
      <formula>NOT(ISERROR(SEARCH("FALSE",J33)))</formula>
    </cfRule>
    <cfRule type="containsText" dxfId="247" priority="272" operator="containsText" text="TRUE">
      <formula>NOT(ISERROR(SEARCH("TRUE",J33)))</formula>
    </cfRule>
  </conditionalFormatting>
  <conditionalFormatting sqref="K33">
    <cfRule type="containsText" dxfId="246" priority="269" operator="containsText" text="FALSE">
      <formula>NOT(ISERROR(SEARCH("FALSE",K33)))</formula>
    </cfRule>
    <cfRule type="containsText" dxfId="245" priority="270" operator="containsText" text="TRUE">
      <formula>NOT(ISERROR(SEARCH("TRUE",K33)))</formula>
    </cfRule>
  </conditionalFormatting>
  <conditionalFormatting sqref="C34:C42">
    <cfRule type="containsText" dxfId="244" priority="267" operator="containsText" text="FALSE">
      <formula>NOT(ISERROR(SEARCH("FALSE",C34)))</formula>
    </cfRule>
    <cfRule type="containsText" dxfId="243" priority="268" operator="containsText" text="TRUE">
      <formula>NOT(ISERROR(SEARCH("TRUE",C34)))</formula>
    </cfRule>
  </conditionalFormatting>
  <conditionalFormatting sqref="C33">
    <cfRule type="containsText" dxfId="242" priority="265" operator="containsText" text="FALSE">
      <formula>NOT(ISERROR(SEARCH("FALSE",C33)))</formula>
    </cfRule>
    <cfRule type="containsText" dxfId="241" priority="266" operator="containsText" text="TRUE">
      <formula>NOT(ISERROR(SEARCH("TRUE",C33)))</formula>
    </cfRule>
  </conditionalFormatting>
  <conditionalFormatting sqref="E34:E42">
    <cfRule type="containsText" dxfId="240" priority="263" operator="containsText" text="FALSE">
      <formula>NOT(ISERROR(SEARCH("FALSE",E34)))</formula>
    </cfRule>
    <cfRule type="containsText" dxfId="239" priority="264" operator="containsText" text="TRUE">
      <formula>NOT(ISERROR(SEARCH("TRUE",E34)))</formula>
    </cfRule>
  </conditionalFormatting>
  <conditionalFormatting sqref="E33">
    <cfRule type="containsText" dxfId="238" priority="261" operator="containsText" text="FALSE">
      <formula>NOT(ISERROR(SEARCH("FALSE",E33)))</formula>
    </cfRule>
    <cfRule type="containsText" dxfId="237" priority="262" operator="containsText" text="TRUE">
      <formula>NOT(ISERROR(SEARCH("TRUE",E33)))</formula>
    </cfRule>
  </conditionalFormatting>
  <conditionalFormatting sqref="D39">
    <cfRule type="containsText" dxfId="236" priority="259" operator="containsText" text="FALSE">
      <formula>NOT(ISERROR(SEARCH("FALSE",D39)))</formula>
    </cfRule>
    <cfRule type="containsText" dxfId="235" priority="260" operator="containsText" text="TRUE">
      <formula>NOT(ISERROR(SEARCH("TRUE",D39)))</formula>
    </cfRule>
  </conditionalFormatting>
  <conditionalFormatting sqref="O117:XFD122 Q115:XFD116 O115:O116 A115:B122 L115:M116 F122:M122 G115:G116 D122 D119:D120 D133 F133:M133 A133:B133 O133:XFD133 G117:M121">
    <cfRule type="containsText" dxfId="234" priority="257" operator="containsText" text="FALSE">
      <formula>NOT(ISERROR(SEARCH("FALSE",A115)))</formula>
    </cfRule>
    <cfRule type="containsText" dxfId="233" priority="258" operator="containsText" text="TRUE">
      <formula>NOT(ISERROR(SEARCH("TRUE",A115)))</formula>
    </cfRule>
  </conditionalFormatting>
  <conditionalFormatting sqref="A111:B114 L111:XFD114 D111:D114 F111:G114">
    <cfRule type="containsText" dxfId="232" priority="255" operator="containsText" text="FALSE">
      <formula>NOT(ISERROR(SEARCH("FALSE",A111)))</formula>
    </cfRule>
    <cfRule type="containsText" dxfId="231" priority="256" operator="containsText" text="TRUE">
      <formula>NOT(ISERROR(SEARCH("TRUE",A111)))</formula>
    </cfRule>
  </conditionalFormatting>
  <conditionalFormatting sqref="H111:H114">
    <cfRule type="containsText" dxfId="230" priority="253" operator="containsText" text="FALSE">
      <formula>NOT(ISERROR(SEARCH("FALSE",H111)))</formula>
    </cfRule>
    <cfRule type="containsText" dxfId="229" priority="254" operator="containsText" text="TRUE">
      <formula>NOT(ISERROR(SEARCH("TRUE",H111)))</formula>
    </cfRule>
  </conditionalFormatting>
  <conditionalFormatting sqref="I111:I114">
    <cfRule type="containsText" dxfId="228" priority="251" operator="containsText" text="FALSE">
      <formula>NOT(ISERROR(SEARCH("FALSE",I111)))</formula>
    </cfRule>
    <cfRule type="containsText" dxfId="227" priority="252" operator="containsText" text="TRUE">
      <formula>NOT(ISERROR(SEARCH("TRUE",I111)))</formula>
    </cfRule>
  </conditionalFormatting>
  <conditionalFormatting sqref="J111:J114">
    <cfRule type="containsText" dxfId="226" priority="249" operator="containsText" text="FALSE">
      <formula>NOT(ISERROR(SEARCH("FALSE",J111)))</formula>
    </cfRule>
    <cfRule type="containsText" dxfId="225" priority="250" operator="containsText" text="TRUE">
      <formula>NOT(ISERROR(SEARCH("TRUE",J111)))</formula>
    </cfRule>
  </conditionalFormatting>
  <conditionalFormatting sqref="K111:K114">
    <cfRule type="containsText" dxfId="224" priority="247" operator="containsText" text="FALSE">
      <formula>NOT(ISERROR(SEARCH("FALSE",K111)))</formula>
    </cfRule>
    <cfRule type="containsText" dxfId="223" priority="248" operator="containsText" text="TRUE">
      <formula>NOT(ISERROR(SEARCH("TRUE",K111)))</formula>
    </cfRule>
  </conditionalFormatting>
  <conditionalFormatting sqref="C115:C116 C118:C122 C133">
    <cfRule type="containsText" dxfId="222" priority="245" operator="containsText" text="FALSE">
      <formula>NOT(ISERROR(SEARCH("FALSE",C115)))</formula>
    </cfRule>
    <cfRule type="containsText" dxfId="221" priority="246" operator="containsText" text="TRUE">
      <formula>NOT(ISERROR(SEARCH("TRUE",C115)))</formula>
    </cfRule>
  </conditionalFormatting>
  <conditionalFormatting sqref="C111:C114">
    <cfRule type="containsText" dxfId="220" priority="243" operator="containsText" text="FALSE">
      <formula>NOT(ISERROR(SEARCH("FALSE",C111)))</formula>
    </cfRule>
    <cfRule type="containsText" dxfId="219" priority="244" operator="containsText" text="TRUE">
      <formula>NOT(ISERROR(SEARCH("TRUE",C111)))</formula>
    </cfRule>
  </conditionalFormatting>
  <conditionalFormatting sqref="E122 E133">
    <cfRule type="containsText" dxfId="218" priority="241" operator="containsText" text="FALSE">
      <formula>NOT(ISERROR(SEARCH("FALSE",E122)))</formula>
    </cfRule>
    <cfRule type="containsText" dxfId="217" priority="242" operator="containsText" text="TRUE">
      <formula>NOT(ISERROR(SEARCH("TRUE",E122)))</formula>
    </cfRule>
  </conditionalFormatting>
  <conditionalFormatting sqref="E111:E114">
    <cfRule type="containsText" dxfId="216" priority="239" operator="containsText" text="FALSE">
      <formula>NOT(ISERROR(SEARCH("FALSE",E111)))</formula>
    </cfRule>
    <cfRule type="containsText" dxfId="215" priority="240" operator="containsText" text="TRUE">
      <formula>NOT(ISERROR(SEARCH("TRUE",E111)))</formula>
    </cfRule>
  </conditionalFormatting>
  <conditionalFormatting sqref="D118">
    <cfRule type="containsText" dxfId="214" priority="235" operator="containsText" text="FALSE">
      <formula>NOT(ISERROR(SEARCH("FALSE",D118)))</formula>
    </cfRule>
    <cfRule type="containsText" dxfId="213" priority="236" operator="containsText" text="TRUE">
      <formula>NOT(ISERROR(SEARCH("TRUE",D118)))</formula>
    </cfRule>
  </conditionalFormatting>
  <conditionalFormatting sqref="C117">
    <cfRule type="containsText" dxfId="212" priority="229" operator="containsText" text="FALSE">
      <formula>NOT(ISERROR(SEARCH("FALSE",C117)))</formula>
    </cfRule>
    <cfRule type="containsText" dxfId="211" priority="230" operator="containsText" text="TRUE">
      <formula>NOT(ISERROR(SEARCH("TRUE",C117)))</formula>
    </cfRule>
  </conditionalFormatting>
  <conditionalFormatting sqref="D121">
    <cfRule type="containsText" dxfId="210" priority="233" operator="containsText" text="FALSE">
      <formula>NOT(ISERROR(SEARCH("FALSE",D121)))</formula>
    </cfRule>
    <cfRule type="containsText" dxfId="209" priority="234" operator="containsText" text="TRUE">
      <formula>NOT(ISERROR(SEARCH("TRUE",D121)))</formula>
    </cfRule>
  </conditionalFormatting>
  <conditionalFormatting sqref="D115:D116">
    <cfRule type="containsText" dxfId="208" priority="231" operator="containsText" text="FALSE">
      <formula>NOT(ISERROR(SEARCH("FALSE",D115)))</formula>
    </cfRule>
    <cfRule type="containsText" dxfId="207" priority="232" operator="containsText" text="TRUE">
      <formula>NOT(ISERROR(SEARCH("TRUE",D115)))</formula>
    </cfRule>
  </conditionalFormatting>
  <conditionalFormatting sqref="F126">
    <cfRule type="containsText" dxfId="206" priority="149" operator="containsText" text="FALSE">
      <formula>NOT(ISERROR(SEARCH("FALSE",F126)))</formula>
    </cfRule>
    <cfRule type="containsText" dxfId="205" priority="150" operator="containsText" text="TRUE">
      <formula>NOT(ISERROR(SEARCH("TRUE",F126)))</formula>
    </cfRule>
  </conditionalFormatting>
  <conditionalFormatting sqref="D117">
    <cfRule type="containsText" dxfId="204" priority="227" operator="containsText" text="FALSE">
      <formula>NOT(ISERROR(SEARCH("FALSE",D117)))</formula>
    </cfRule>
    <cfRule type="containsText" dxfId="203" priority="228" operator="containsText" text="TRUE">
      <formula>NOT(ISERROR(SEARCH("TRUE",D117)))</formula>
    </cfRule>
  </conditionalFormatting>
  <conditionalFormatting sqref="E115:E116 E118:E121">
    <cfRule type="containsText" dxfId="202" priority="193" operator="containsText" text="FALSE">
      <formula>NOT(ISERROR(SEARCH("FALSE",E115)))</formula>
    </cfRule>
    <cfRule type="containsText" dxfId="201" priority="194" operator="containsText" text="TRUE">
      <formula>NOT(ISERROR(SEARCH("TRUE",E115)))</formula>
    </cfRule>
  </conditionalFormatting>
  <conditionalFormatting sqref="A123:B124 L123:XFD124 D123:D124 F123:G124">
    <cfRule type="containsText" dxfId="200" priority="223" operator="containsText" text="FALSE">
      <formula>NOT(ISERROR(SEARCH("FALSE",A123)))</formula>
    </cfRule>
    <cfRule type="containsText" dxfId="199" priority="224" operator="containsText" text="TRUE">
      <formula>NOT(ISERROR(SEARCH("TRUE",A123)))</formula>
    </cfRule>
  </conditionalFormatting>
  <conditionalFormatting sqref="H123:H124">
    <cfRule type="containsText" dxfId="198" priority="221" operator="containsText" text="FALSE">
      <formula>NOT(ISERROR(SEARCH("FALSE",H123)))</formula>
    </cfRule>
    <cfRule type="containsText" dxfId="197" priority="222" operator="containsText" text="TRUE">
      <formula>NOT(ISERROR(SEARCH("TRUE",H123)))</formula>
    </cfRule>
  </conditionalFormatting>
  <conditionalFormatting sqref="I123:I124">
    <cfRule type="containsText" dxfId="196" priority="219" operator="containsText" text="FALSE">
      <formula>NOT(ISERROR(SEARCH("FALSE",I123)))</formula>
    </cfRule>
    <cfRule type="containsText" dxfId="195" priority="220" operator="containsText" text="TRUE">
      <formula>NOT(ISERROR(SEARCH("TRUE",I123)))</formula>
    </cfRule>
  </conditionalFormatting>
  <conditionalFormatting sqref="J123:J124">
    <cfRule type="containsText" dxfId="194" priority="217" operator="containsText" text="FALSE">
      <formula>NOT(ISERROR(SEARCH("FALSE",J123)))</formula>
    </cfRule>
    <cfRule type="containsText" dxfId="193" priority="218" operator="containsText" text="TRUE">
      <formula>NOT(ISERROR(SEARCH("TRUE",J123)))</formula>
    </cfRule>
  </conditionalFormatting>
  <conditionalFormatting sqref="K123:K124">
    <cfRule type="containsText" dxfId="192" priority="215" operator="containsText" text="FALSE">
      <formula>NOT(ISERROR(SEARCH("FALSE",K123)))</formula>
    </cfRule>
    <cfRule type="containsText" dxfId="191" priority="216" operator="containsText" text="TRUE">
      <formula>NOT(ISERROR(SEARCH("TRUE",K123)))</formula>
    </cfRule>
  </conditionalFormatting>
  <conditionalFormatting sqref="F117">
    <cfRule type="containsText" dxfId="190" priority="181" operator="containsText" text="FALSE">
      <formula>NOT(ISERROR(SEARCH("FALSE",F117)))</formula>
    </cfRule>
    <cfRule type="containsText" dxfId="189" priority="182" operator="containsText" text="TRUE">
      <formula>NOT(ISERROR(SEARCH("TRUE",F117)))</formula>
    </cfRule>
  </conditionalFormatting>
  <conditionalFormatting sqref="C123:C124">
    <cfRule type="containsText" dxfId="188" priority="211" operator="containsText" text="FALSE">
      <formula>NOT(ISERROR(SEARCH("FALSE",C123)))</formula>
    </cfRule>
    <cfRule type="containsText" dxfId="187" priority="212" operator="containsText" text="TRUE">
      <formula>NOT(ISERROR(SEARCH("TRUE",C123)))</formula>
    </cfRule>
  </conditionalFormatting>
  <conditionalFormatting sqref="O127:XFD132 Q125:XFD126 O125:O126 A125:B132 L125:M126 G125:G126 D131 G127:M132">
    <cfRule type="containsText" dxfId="186" priority="177" operator="containsText" text="FALSE">
      <formula>NOT(ISERROR(SEARCH("FALSE",A125)))</formula>
    </cfRule>
    <cfRule type="containsText" dxfId="185" priority="178" operator="containsText" text="TRUE">
      <formula>NOT(ISERROR(SEARCH("TRUE",A125)))</formula>
    </cfRule>
  </conditionalFormatting>
  <conditionalFormatting sqref="E123:E124">
    <cfRule type="containsText" dxfId="184" priority="207" operator="containsText" text="FALSE">
      <formula>NOT(ISERROR(SEARCH("FALSE",E123)))</formula>
    </cfRule>
    <cfRule type="containsText" dxfId="183" priority="208" operator="containsText" text="TRUE">
      <formula>NOT(ISERROR(SEARCH("TRUE",E123)))</formula>
    </cfRule>
  </conditionalFormatting>
  <conditionalFormatting sqref="D128">
    <cfRule type="containsText" dxfId="182" priority="173" operator="containsText" text="FALSE">
      <formula>NOT(ISERROR(SEARCH("FALSE",D128)))</formula>
    </cfRule>
    <cfRule type="containsText" dxfId="181" priority="174" operator="containsText" text="TRUE">
      <formula>NOT(ISERROR(SEARCH("TRUE",D128)))</formula>
    </cfRule>
  </conditionalFormatting>
  <conditionalFormatting sqref="C127">
    <cfRule type="containsText" dxfId="180" priority="167" operator="containsText" text="FALSE">
      <formula>NOT(ISERROR(SEARCH("FALSE",C127)))</formula>
    </cfRule>
    <cfRule type="containsText" dxfId="179" priority="168" operator="containsText" text="TRUE">
      <formula>NOT(ISERROR(SEARCH("TRUE",C127)))</formula>
    </cfRule>
  </conditionalFormatting>
  <conditionalFormatting sqref="A134:B134 L134:XFD134 D134 F134:G134">
    <cfRule type="containsText" dxfId="178" priority="139" operator="containsText" text="FALSE">
      <formula>NOT(ISERROR(SEARCH("FALSE",A134)))</formula>
    </cfRule>
    <cfRule type="containsText" dxfId="177" priority="140" operator="containsText" text="TRUE">
      <formula>NOT(ISERROR(SEARCH("TRUE",A134)))</formula>
    </cfRule>
  </conditionalFormatting>
  <conditionalFormatting sqref="D125:D126">
    <cfRule type="containsText" dxfId="176" priority="169" operator="containsText" text="FALSE">
      <formula>NOT(ISERROR(SEARCH("FALSE",D125)))</formula>
    </cfRule>
    <cfRule type="containsText" dxfId="175" priority="170" operator="containsText" text="TRUE">
      <formula>NOT(ISERROR(SEARCH("TRUE",D125)))</formula>
    </cfRule>
  </conditionalFormatting>
  <conditionalFormatting sqref="D127">
    <cfRule type="containsText" dxfId="174" priority="165" operator="containsText" text="FALSE">
      <formula>NOT(ISERROR(SEARCH("FALSE",D127)))</formula>
    </cfRule>
    <cfRule type="containsText" dxfId="173" priority="166" operator="containsText" text="TRUE">
      <formula>NOT(ISERROR(SEARCH("TRUE",D127)))</formula>
    </cfRule>
  </conditionalFormatting>
  <conditionalFormatting sqref="F119:F120">
    <cfRule type="containsText" dxfId="172" priority="195" operator="containsText" text="FALSE">
      <formula>NOT(ISERROR(SEARCH("FALSE",F119)))</formula>
    </cfRule>
    <cfRule type="containsText" dxfId="171" priority="196" operator="containsText" text="TRUE">
      <formula>NOT(ISERROR(SEARCH("TRUE",F119)))</formula>
    </cfRule>
  </conditionalFormatting>
  <conditionalFormatting sqref="F121">
    <cfRule type="containsText" dxfId="170" priority="189" operator="containsText" text="FALSE">
      <formula>NOT(ISERROR(SEARCH("FALSE",F121)))</formula>
    </cfRule>
    <cfRule type="containsText" dxfId="169" priority="190" operator="containsText" text="TRUE">
      <formula>NOT(ISERROR(SEARCH("TRUE",F121)))</formula>
    </cfRule>
  </conditionalFormatting>
  <conditionalFormatting sqref="F118">
    <cfRule type="containsText" dxfId="168" priority="191" operator="containsText" text="FALSE">
      <formula>NOT(ISERROR(SEARCH("FALSE",F118)))</formula>
    </cfRule>
    <cfRule type="containsText" dxfId="167" priority="192" operator="containsText" text="TRUE">
      <formula>NOT(ISERROR(SEARCH("TRUE",F118)))</formula>
    </cfRule>
  </conditionalFormatting>
  <conditionalFormatting sqref="E117">
    <cfRule type="containsText" dxfId="166" priority="185" operator="containsText" text="FALSE">
      <formula>NOT(ISERROR(SEARCH("FALSE",E117)))</formula>
    </cfRule>
    <cfRule type="containsText" dxfId="165" priority="186" operator="containsText" text="TRUE">
      <formula>NOT(ISERROR(SEARCH("TRUE",E117)))</formula>
    </cfRule>
  </conditionalFormatting>
  <conditionalFormatting sqref="E125:E126 E128 E131">
    <cfRule type="containsText" dxfId="164" priority="161" operator="containsText" text="FALSE">
      <formula>NOT(ISERROR(SEARCH("FALSE",E125)))</formula>
    </cfRule>
    <cfRule type="containsText" dxfId="163" priority="162" operator="containsText" text="TRUE">
      <formula>NOT(ISERROR(SEARCH("TRUE",E125)))</formula>
    </cfRule>
  </conditionalFormatting>
  <conditionalFormatting sqref="F115">
    <cfRule type="containsText" dxfId="162" priority="187" operator="containsText" text="FALSE">
      <formula>NOT(ISERROR(SEARCH("FALSE",F115)))</formula>
    </cfRule>
    <cfRule type="containsText" dxfId="161" priority="188" operator="containsText" text="TRUE">
      <formula>NOT(ISERROR(SEARCH("TRUE",F115)))</formula>
    </cfRule>
  </conditionalFormatting>
  <conditionalFormatting sqref="D132:F132">
    <cfRule type="containsText" dxfId="160" priority="147" operator="containsText" text="FALSE">
      <formula>NOT(ISERROR(SEARCH("FALSE",D132)))</formula>
    </cfRule>
    <cfRule type="containsText" dxfId="159" priority="148" operator="containsText" text="TRUE">
      <formula>NOT(ISERROR(SEARCH("TRUE",D132)))</formula>
    </cfRule>
  </conditionalFormatting>
  <conditionalFormatting sqref="F116">
    <cfRule type="containsText" dxfId="158" priority="179" operator="containsText" text="FALSE">
      <formula>NOT(ISERROR(SEARCH("FALSE",F116)))</formula>
    </cfRule>
    <cfRule type="containsText" dxfId="157" priority="180" operator="containsText" text="TRUE">
      <formula>NOT(ISERROR(SEARCH("TRUE",F116)))</formula>
    </cfRule>
  </conditionalFormatting>
  <conditionalFormatting sqref="D129:F129">
    <cfRule type="containsText" dxfId="156" priority="145" operator="containsText" text="FALSE">
      <formula>NOT(ISERROR(SEARCH("FALSE",D129)))</formula>
    </cfRule>
    <cfRule type="containsText" dxfId="155" priority="146" operator="containsText" text="TRUE">
      <formula>NOT(ISERROR(SEARCH("TRUE",D129)))</formula>
    </cfRule>
  </conditionalFormatting>
  <conditionalFormatting sqref="C125:C126 C128:C132">
    <cfRule type="containsText" dxfId="154" priority="175" operator="containsText" text="FALSE">
      <formula>NOT(ISERROR(SEARCH("FALSE",C125)))</formula>
    </cfRule>
    <cfRule type="containsText" dxfId="153" priority="176" operator="containsText" text="TRUE">
      <formula>NOT(ISERROR(SEARCH("TRUE",C125)))</formula>
    </cfRule>
  </conditionalFormatting>
  <conditionalFormatting sqref="O136:XFD146 Q135:XFD135 O135 L135:M135 D137:D140 F136:M146 F135:G135 D144:D146 A135:B146">
    <cfRule type="containsText" dxfId="152" priority="141" operator="containsText" text="FALSE">
      <formula>NOT(ISERROR(SEARCH("FALSE",A135)))</formula>
    </cfRule>
    <cfRule type="containsText" dxfId="151" priority="142" operator="containsText" text="TRUE">
      <formula>NOT(ISERROR(SEARCH("TRUE",A135)))</formula>
    </cfRule>
  </conditionalFormatting>
  <conditionalFormatting sqref="F131">
    <cfRule type="containsText" dxfId="150" priority="163" operator="containsText" text="FALSE">
      <formula>NOT(ISERROR(SEARCH("FALSE",F131)))</formula>
    </cfRule>
    <cfRule type="containsText" dxfId="149" priority="164" operator="containsText" text="TRUE">
      <formula>NOT(ISERROR(SEARCH("TRUE",F131)))</formula>
    </cfRule>
  </conditionalFormatting>
  <conditionalFormatting sqref="H134">
    <cfRule type="containsText" dxfId="148" priority="137" operator="containsText" text="FALSE">
      <formula>NOT(ISERROR(SEARCH("FALSE",H134)))</formula>
    </cfRule>
    <cfRule type="containsText" dxfId="147" priority="138" operator="containsText" text="TRUE">
      <formula>NOT(ISERROR(SEARCH("TRUE",H134)))</formula>
    </cfRule>
  </conditionalFormatting>
  <conditionalFormatting sqref="C134">
    <cfRule type="containsText" dxfId="146" priority="127" operator="containsText" text="FALSE">
      <formula>NOT(ISERROR(SEARCH("FALSE",C134)))</formula>
    </cfRule>
    <cfRule type="containsText" dxfId="145" priority="128" operator="containsText" text="TRUE">
      <formula>NOT(ISERROR(SEARCH("TRUE",C134)))</formula>
    </cfRule>
  </conditionalFormatting>
  <conditionalFormatting sqref="F127">
    <cfRule type="containsText" dxfId="144" priority="151" operator="containsText" text="FALSE">
      <formula>NOT(ISERROR(SEARCH("FALSE",F127)))</formula>
    </cfRule>
    <cfRule type="containsText" dxfId="143" priority="152" operator="containsText" text="TRUE">
      <formula>NOT(ISERROR(SEARCH("TRUE",F127)))</formula>
    </cfRule>
  </conditionalFormatting>
  <conditionalFormatting sqref="I134">
    <cfRule type="containsText" dxfId="142" priority="135" operator="containsText" text="FALSE">
      <formula>NOT(ISERROR(SEARCH("FALSE",I134)))</formula>
    </cfRule>
    <cfRule type="containsText" dxfId="141" priority="136" operator="containsText" text="TRUE">
      <formula>NOT(ISERROR(SEARCH("TRUE",I134)))</formula>
    </cfRule>
  </conditionalFormatting>
  <conditionalFormatting sqref="J134">
    <cfRule type="containsText" dxfId="140" priority="133" operator="containsText" text="FALSE">
      <formula>NOT(ISERROR(SEARCH("FALSE",J134)))</formula>
    </cfRule>
    <cfRule type="containsText" dxfId="139" priority="134" operator="containsText" text="TRUE">
      <formula>NOT(ISERROR(SEARCH("TRUE",J134)))</formula>
    </cfRule>
  </conditionalFormatting>
  <conditionalFormatting sqref="F128">
    <cfRule type="containsText" dxfId="138" priority="159" operator="containsText" text="FALSE">
      <formula>NOT(ISERROR(SEARCH("FALSE",F128)))</formula>
    </cfRule>
    <cfRule type="containsText" dxfId="137" priority="160" operator="containsText" text="TRUE">
      <formula>NOT(ISERROR(SEARCH("TRUE",F128)))</formula>
    </cfRule>
  </conditionalFormatting>
  <conditionalFormatting sqref="E127">
    <cfRule type="containsText" dxfId="136" priority="153" operator="containsText" text="FALSE">
      <formula>NOT(ISERROR(SEARCH("FALSE",E127)))</formula>
    </cfRule>
    <cfRule type="containsText" dxfId="135" priority="154" operator="containsText" text="TRUE">
      <formula>NOT(ISERROR(SEARCH("TRUE",E127)))</formula>
    </cfRule>
  </conditionalFormatting>
  <conditionalFormatting sqref="F125">
    <cfRule type="containsText" dxfId="134" priority="155" operator="containsText" text="FALSE">
      <formula>NOT(ISERROR(SEARCH("FALSE",F125)))</formula>
    </cfRule>
    <cfRule type="containsText" dxfId="133" priority="156" operator="containsText" text="TRUE">
      <formula>NOT(ISERROR(SEARCH("TRUE",F125)))</formula>
    </cfRule>
  </conditionalFormatting>
  <conditionalFormatting sqref="E134">
    <cfRule type="containsText" dxfId="132" priority="123" operator="containsText" text="FALSE">
      <formula>NOT(ISERROR(SEARCH("FALSE",E134)))</formula>
    </cfRule>
    <cfRule type="containsText" dxfId="131" priority="124" operator="containsText" text="TRUE">
      <formula>NOT(ISERROR(SEARCH("TRUE",E134)))</formula>
    </cfRule>
  </conditionalFormatting>
  <conditionalFormatting sqref="D130:F130">
    <cfRule type="containsText" dxfId="130" priority="143" operator="containsText" text="FALSE">
      <formula>NOT(ISERROR(SEARCH("FALSE",D130)))</formula>
    </cfRule>
    <cfRule type="containsText" dxfId="129" priority="144" operator="containsText" text="TRUE">
      <formula>NOT(ISERROR(SEARCH("TRUE",D130)))</formula>
    </cfRule>
  </conditionalFormatting>
  <conditionalFormatting sqref="C136">
    <cfRule type="containsText" dxfId="128" priority="117" operator="containsText" text="FALSE">
      <formula>NOT(ISERROR(SEARCH("FALSE",C136)))</formula>
    </cfRule>
    <cfRule type="containsText" dxfId="127" priority="118" operator="containsText" text="TRUE">
      <formula>NOT(ISERROR(SEARCH("TRUE",C136)))</formula>
    </cfRule>
  </conditionalFormatting>
  <conditionalFormatting sqref="D136">
    <cfRule type="containsText" dxfId="126" priority="115" operator="containsText" text="FALSE">
      <formula>NOT(ISERROR(SEARCH("FALSE",D136)))</formula>
    </cfRule>
    <cfRule type="containsText" dxfId="125" priority="116" operator="containsText" text="TRUE">
      <formula>NOT(ISERROR(SEARCH("TRUE",D136)))</formula>
    </cfRule>
  </conditionalFormatting>
  <conditionalFormatting sqref="K134">
    <cfRule type="containsText" dxfId="124" priority="131" operator="containsText" text="FALSE">
      <formula>NOT(ISERROR(SEARCH("FALSE",K134)))</formula>
    </cfRule>
    <cfRule type="containsText" dxfId="123" priority="132" operator="containsText" text="TRUE">
      <formula>NOT(ISERROR(SEARCH("TRUE",K134)))</formula>
    </cfRule>
  </conditionalFormatting>
  <conditionalFormatting sqref="C135 C137:C146">
    <cfRule type="containsText" dxfId="122" priority="129" operator="containsText" text="FALSE">
      <formula>NOT(ISERROR(SEARCH("FALSE",C135)))</formula>
    </cfRule>
    <cfRule type="containsText" dxfId="121" priority="130" operator="containsText" text="TRUE">
      <formula>NOT(ISERROR(SEARCH("TRUE",C135)))</formula>
    </cfRule>
  </conditionalFormatting>
  <conditionalFormatting sqref="E135:E146">
    <cfRule type="containsText" dxfId="120" priority="125" operator="containsText" text="FALSE">
      <formula>NOT(ISERROR(SEARCH("FALSE",E135)))</formula>
    </cfRule>
    <cfRule type="containsText" dxfId="119" priority="126" operator="containsText" text="TRUE">
      <formula>NOT(ISERROR(SEARCH("TRUE",E135)))</formula>
    </cfRule>
  </conditionalFormatting>
  <conditionalFormatting sqref="D135">
    <cfRule type="containsText" dxfId="118" priority="119" operator="containsText" text="FALSE">
      <formula>NOT(ISERROR(SEARCH("FALSE",D135)))</formula>
    </cfRule>
    <cfRule type="containsText" dxfId="117" priority="120" operator="containsText" text="TRUE">
      <formula>NOT(ISERROR(SEARCH("TRUE",D135)))</formula>
    </cfRule>
  </conditionalFormatting>
  <conditionalFormatting sqref="D142">
    <cfRule type="containsText" dxfId="116" priority="107" operator="containsText" text="FALSE">
      <formula>NOT(ISERROR(SEARCH("FALSE",D142)))</formula>
    </cfRule>
    <cfRule type="containsText" dxfId="115" priority="108" operator="containsText" text="TRUE">
      <formula>NOT(ISERROR(SEARCH("TRUE",D142)))</formula>
    </cfRule>
  </conditionalFormatting>
  <conditionalFormatting sqref="D143">
    <cfRule type="containsText" dxfId="114" priority="105" operator="containsText" text="FALSE">
      <formula>NOT(ISERROR(SEARCH("FALSE",D143)))</formula>
    </cfRule>
    <cfRule type="containsText" dxfId="113" priority="106" operator="containsText" text="TRUE">
      <formula>NOT(ISERROR(SEARCH("TRUE",D143)))</formula>
    </cfRule>
  </conditionalFormatting>
  <conditionalFormatting sqref="D141">
    <cfRule type="containsText" dxfId="112" priority="109" operator="containsText" text="FALSE">
      <formula>NOT(ISERROR(SEARCH("FALSE",D141)))</formula>
    </cfRule>
    <cfRule type="containsText" dxfId="111" priority="110" operator="containsText" text="TRUE">
      <formula>NOT(ISERROR(SEARCH("TRUE",D141)))</formula>
    </cfRule>
  </conditionalFormatting>
  <conditionalFormatting sqref="B234:B235">
    <cfRule type="containsText" dxfId="110" priority="99" operator="containsText" text="FALSE">
      <formula>NOT(ISERROR(SEARCH("FALSE",B234)))</formula>
    </cfRule>
    <cfRule type="containsText" dxfId="109" priority="100" operator="containsText" text="TRUE">
      <formula>NOT(ISERROR(SEARCH("TRUE",B234)))</formula>
    </cfRule>
  </conditionalFormatting>
  <conditionalFormatting sqref="A147:B159 D149:E159 F153:G153 D147:XFD148 L149:XFD156 J153:J155 F149:I152 F156:I156 F155:G155 F154 I157:XFD157 D167:E171 A167:B171 A191:B195 D192:E195 E191 D206:E209 A206:B209">
    <cfRule type="containsText" dxfId="108" priority="97" operator="containsText" text="FALSE">
      <formula>NOT(ISERROR(SEARCH("FALSE",A147)))</formula>
    </cfRule>
    <cfRule type="containsText" dxfId="107" priority="98" operator="containsText" text="TRUE">
      <formula>NOT(ISERROR(SEARCH("TRUE",A147)))</formula>
    </cfRule>
  </conditionalFormatting>
  <conditionalFormatting sqref="F157:F159">
    <cfRule type="containsText" dxfId="106" priority="93" operator="containsText" text="FALSE">
      <formula>NOT(ISERROR(SEARCH("FALSE",F157)))</formula>
    </cfRule>
    <cfRule type="containsText" dxfId="105" priority="94" operator="containsText" text="TRUE">
      <formula>NOT(ISERROR(SEARCH("TRUE",F157)))</formula>
    </cfRule>
  </conditionalFormatting>
  <conditionalFormatting sqref="C147:C148">
    <cfRule type="containsText" dxfId="104" priority="91" operator="containsText" text="FALSE">
      <formula>NOT(ISERROR(SEARCH("FALSE",C147)))</formula>
    </cfRule>
    <cfRule type="containsText" dxfId="103" priority="92" operator="containsText" text="TRUE">
      <formula>NOT(ISERROR(SEARCH("TRUE",C147)))</formula>
    </cfRule>
  </conditionalFormatting>
  <conditionalFormatting sqref="I155">
    <cfRule type="containsText" dxfId="102" priority="89" operator="containsText" text="FALSE">
      <formula>NOT(ISERROR(SEARCH("FALSE",I155)))</formula>
    </cfRule>
    <cfRule type="containsText" dxfId="101" priority="90" operator="containsText" text="TRUE">
      <formula>NOT(ISERROR(SEARCH("TRUE",I155)))</formula>
    </cfRule>
  </conditionalFormatting>
  <conditionalFormatting sqref="C149:C156">
    <cfRule type="containsText" dxfId="100" priority="87" operator="containsText" text="FALSE">
      <formula>NOT(ISERROR(SEARCH("FALSE",C149)))</formula>
    </cfRule>
    <cfRule type="containsText" dxfId="99" priority="88" operator="containsText" text="TRUE">
      <formula>NOT(ISERROR(SEARCH("TRUE",C149)))</formula>
    </cfRule>
  </conditionalFormatting>
  <conditionalFormatting sqref="H155">
    <cfRule type="containsText" dxfId="98" priority="85" operator="containsText" text="FALSE">
      <formula>NOT(ISERROR(SEARCH("FALSE",H155)))</formula>
    </cfRule>
    <cfRule type="containsText" dxfId="97" priority="86" operator="containsText" text="TRUE">
      <formula>NOT(ISERROR(SEARCH("TRUE",H155)))</formula>
    </cfRule>
  </conditionalFormatting>
  <conditionalFormatting sqref="G154">
    <cfRule type="containsText" dxfId="96" priority="83" operator="containsText" text="FALSE">
      <formula>NOT(ISERROR(SEARCH("FALSE",G154)))</formula>
    </cfRule>
    <cfRule type="containsText" dxfId="95" priority="84" operator="containsText" text="TRUE">
      <formula>NOT(ISERROR(SEARCH("TRUE",G154)))</formula>
    </cfRule>
  </conditionalFormatting>
  <conditionalFormatting sqref="C157:C159 C167:C171 C192:C195 C206:C209">
    <cfRule type="containsText" dxfId="94" priority="81" operator="containsText" text="FALSE">
      <formula>NOT(ISERROR(SEARCH("FALSE",C157)))</formula>
    </cfRule>
    <cfRule type="containsText" dxfId="93" priority="82" operator="containsText" text="TRUE">
      <formula>NOT(ISERROR(SEARCH("TRUE",C157)))</formula>
    </cfRule>
  </conditionalFormatting>
  <conditionalFormatting sqref="H157">
    <cfRule type="containsText" dxfId="92" priority="79" operator="containsText" text="FALSE">
      <formula>NOT(ISERROR(SEARCH("FALSE",H157)))</formula>
    </cfRule>
    <cfRule type="containsText" dxfId="91" priority="80" operator="containsText" text="TRUE">
      <formula>NOT(ISERROR(SEARCH("TRUE",H157)))</formula>
    </cfRule>
  </conditionalFormatting>
  <conditionalFormatting sqref="C189:D189">
    <cfRule type="containsText" dxfId="90" priority="77" operator="containsText" text="FALSE">
      <formula>NOT(ISERROR(SEARCH("FALSE",C189)))</formula>
    </cfRule>
    <cfRule type="containsText" dxfId="89" priority="78" operator="containsText" text="TRUE">
      <formula>NOT(ISERROR(SEARCH("TRUE",C189)))</formula>
    </cfRule>
  </conditionalFormatting>
  <conditionalFormatting sqref="C191:D191">
    <cfRule type="containsText" dxfId="88" priority="75" operator="containsText" text="FALSE">
      <formula>NOT(ISERROR(SEARCH("FALSE",C191)))</formula>
    </cfRule>
    <cfRule type="containsText" dxfId="87" priority="76" operator="containsText" text="TRUE">
      <formula>NOT(ISERROR(SEARCH("TRUE",C191)))</formula>
    </cfRule>
  </conditionalFormatting>
  <conditionalFormatting sqref="O212:XFD219 Q211:XFD211 O211 A211:B219 L211:M211 D214:D215 F212:M219 F211:G211 D217:D219">
    <cfRule type="containsText" dxfId="86" priority="73" operator="containsText" text="FALSE">
      <formula>NOT(ISERROR(SEARCH("FALSE",A211)))</formula>
    </cfRule>
    <cfRule type="containsText" dxfId="85" priority="74" operator="containsText" text="TRUE">
      <formula>NOT(ISERROR(SEARCH("TRUE",A211)))</formula>
    </cfRule>
  </conditionalFormatting>
  <conditionalFormatting sqref="A210:B210 L210:XFD210 D210 F210:G210">
    <cfRule type="containsText" dxfId="84" priority="71" operator="containsText" text="FALSE">
      <formula>NOT(ISERROR(SEARCH("FALSE",A210)))</formula>
    </cfRule>
    <cfRule type="containsText" dxfId="83" priority="72" operator="containsText" text="TRUE">
      <formula>NOT(ISERROR(SEARCH("TRUE",A210)))</formula>
    </cfRule>
  </conditionalFormatting>
  <conditionalFormatting sqref="H210">
    <cfRule type="containsText" dxfId="82" priority="69" operator="containsText" text="FALSE">
      <formula>NOT(ISERROR(SEARCH("FALSE",H210)))</formula>
    </cfRule>
    <cfRule type="containsText" dxfId="81" priority="70" operator="containsText" text="TRUE">
      <formula>NOT(ISERROR(SEARCH("TRUE",H210)))</formula>
    </cfRule>
  </conditionalFormatting>
  <conditionalFormatting sqref="I210">
    <cfRule type="containsText" dxfId="80" priority="67" operator="containsText" text="FALSE">
      <formula>NOT(ISERROR(SEARCH("FALSE",I210)))</formula>
    </cfRule>
    <cfRule type="containsText" dxfId="79" priority="68" operator="containsText" text="TRUE">
      <formula>NOT(ISERROR(SEARCH("TRUE",I210)))</formula>
    </cfRule>
  </conditionalFormatting>
  <conditionalFormatting sqref="J210">
    <cfRule type="containsText" dxfId="78" priority="65" operator="containsText" text="FALSE">
      <formula>NOT(ISERROR(SEARCH("FALSE",J210)))</formula>
    </cfRule>
    <cfRule type="containsText" dxfId="77" priority="66" operator="containsText" text="TRUE">
      <formula>NOT(ISERROR(SEARCH("TRUE",J210)))</formula>
    </cfRule>
  </conditionalFormatting>
  <conditionalFormatting sqref="K210">
    <cfRule type="containsText" dxfId="76" priority="63" operator="containsText" text="FALSE">
      <formula>NOT(ISERROR(SEARCH("FALSE",K210)))</formula>
    </cfRule>
    <cfRule type="containsText" dxfId="75" priority="64" operator="containsText" text="TRUE">
      <formula>NOT(ISERROR(SEARCH("TRUE",K210)))</formula>
    </cfRule>
  </conditionalFormatting>
  <conditionalFormatting sqref="C211:C219">
    <cfRule type="containsText" dxfId="74" priority="61" operator="containsText" text="FALSE">
      <formula>NOT(ISERROR(SEARCH("FALSE",C211)))</formula>
    </cfRule>
    <cfRule type="containsText" dxfId="73" priority="62" operator="containsText" text="TRUE">
      <formula>NOT(ISERROR(SEARCH("TRUE",C211)))</formula>
    </cfRule>
  </conditionalFormatting>
  <conditionalFormatting sqref="C210">
    <cfRule type="containsText" dxfId="72" priority="59" operator="containsText" text="FALSE">
      <formula>NOT(ISERROR(SEARCH("FALSE",C210)))</formula>
    </cfRule>
    <cfRule type="containsText" dxfId="71" priority="60" operator="containsText" text="TRUE">
      <formula>NOT(ISERROR(SEARCH("TRUE",C210)))</formula>
    </cfRule>
  </conditionalFormatting>
  <conditionalFormatting sqref="E211:E219">
    <cfRule type="containsText" dxfId="70" priority="57" operator="containsText" text="FALSE">
      <formula>NOT(ISERROR(SEARCH("FALSE",E211)))</formula>
    </cfRule>
    <cfRule type="containsText" dxfId="69" priority="58" operator="containsText" text="TRUE">
      <formula>NOT(ISERROR(SEARCH("TRUE",E211)))</formula>
    </cfRule>
  </conditionalFormatting>
  <conditionalFormatting sqref="E210">
    <cfRule type="containsText" dxfId="68" priority="55" operator="containsText" text="FALSE">
      <formula>NOT(ISERROR(SEARCH("FALSE",E210)))</formula>
    </cfRule>
    <cfRule type="containsText" dxfId="67" priority="56" operator="containsText" text="TRUE">
      <formula>NOT(ISERROR(SEARCH("TRUE",E210)))</formula>
    </cfRule>
  </conditionalFormatting>
  <conditionalFormatting sqref="D211:D212">
    <cfRule type="containsText" dxfId="66" priority="51" operator="containsText" text="FALSE">
      <formula>NOT(ISERROR(SEARCH("FALSE",D211)))</formula>
    </cfRule>
    <cfRule type="containsText" dxfId="65" priority="52" operator="containsText" text="TRUE">
      <formula>NOT(ISERROR(SEARCH("TRUE",D211)))</formula>
    </cfRule>
  </conditionalFormatting>
  <conditionalFormatting sqref="D216">
    <cfRule type="containsText" dxfId="64" priority="47" operator="containsText" text="FALSE">
      <formula>NOT(ISERROR(SEARCH("FALSE",D216)))</formula>
    </cfRule>
    <cfRule type="containsText" dxfId="63" priority="48" operator="containsText" text="TRUE">
      <formula>NOT(ISERROR(SEARCH("TRUE",D216)))</formula>
    </cfRule>
  </conditionalFormatting>
  <conditionalFormatting sqref="D213">
    <cfRule type="containsText" dxfId="62" priority="49" operator="containsText" text="FALSE">
      <formula>NOT(ISERROR(SEARCH("FALSE",D213)))</formula>
    </cfRule>
    <cfRule type="containsText" dxfId="61" priority="50" operator="containsText" text="TRUE">
      <formula>NOT(ISERROR(SEARCH("TRUE",D213)))</formula>
    </cfRule>
  </conditionalFormatting>
  <conditionalFormatting sqref="A247:XFD247">
    <cfRule type="containsText" dxfId="60" priority="45" operator="containsText" text="FALSE">
      <formula>NOT(ISERROR(SEARCH("FALSE",A247)))</formula>
    </cfRule>
    <cfRule type="containsText" dxfId="59" priority="46" operator="containsText" text="TRUE">
      <formula>NOT(ISERROR(SEARCH("TRUE",A247)))</formula>
    </cfRule>
  </conditionalFormatting>
  <conditionalFormatting sqref="H246">
    <cfRule type="containsText" dxfId="58" priority="43" operator="containsText" text="FALSE">
      <formula>NOT(ISERROR(SEARCH("FALSE",H246)))</formula>
    </cfRule>
    <cfRule type="containsText" dxfId="57" priority="44" operator="containsText" text="TRUE">
      <formula>NOT(ISERROR(SEARCH("TRUE",H246)))</formula>
    </cfRule>
  </conditionalFormatting>
  <conditionalFormatting sqref="E277:E294 E302:E303 E299:E300 E322:E344">
    <cfRule type="containsText" dxfId="56" priority="41" operator="containsText" text="FALSE">
      <formula>NOT(ISERROR(SEARCH("FALSE",E277)))</formula>
    </cfRule>
    <cfRule type="containsText" dxfId="55" priority="42" operator="containsText" text="TRUE">
      <formula>NOT(ISERROR(SEARCH("TRUE",E277)))</formula>
    </cfRule>
  </conditionalFormatting>
  <conditionalFormatting sqref="E301">
    <cfRule type="containsText" dxfId="54" priority="39" operator="containsText" text="FALSE">
      <formula>NOT(ISERROR(SEARCH("FALSE",E301)))</formula>
    </cfRule>
    <cfRule type="containsText" dxfId="53" priority="40" operator="containsText" text="TRUE">
      <formula>NOT(ISERROR(SEARCH("TRUE",E301)))</formula>
    </cfRule>
  </conditionalFormatting>
  <conditionalFormatting sqref="E295:E298">
    <cfRule type="containsText" dxfId="52" priority="37" operator="containsText" text="FALSE">
      <formula>NOT(ISERROR(SEARCH("FALSE",E295)))</formula>
    </cfRule>
    <cfRule type="containsText" dxfId="51" priority="38" operator="containsText" text="TRUE">
      <formula>NOT(ISERROR(SEARCH("TRUE",E295)))</formula>
    </cfRule>
  </conditionalFormatting>
  <conditionalFormatting sqref="D298">
    <cfRule type="containsText" dxfId="50" priority="35" operator="containsText" text="FALSE">
      <formula>NOT(ISERROR(SEARCH("FALSE",D298)))</formula>
    </cfRule>
    <cfRule type="containsText" dxfId="49" priority="36" operator="containsText" text="TRUE">
      <formula>NOT(ISERROR(SEARCH("TRUE",D298)))</formula>
    </cfRule>
  </conditionalFormatting>
  <conditionalFormatting sqref="D299:D300">
    <cfRule type="containsText" dxfId="48" priority="33" operator="containsText" text="FALSE">
      <formula>NOT(ISERROR(SEARCH("FALSE",D299)))</formula>
    </cfRule>
    <cfRule type="containsText" dxfId="47" priority="34" operator="containsText" text="TRUE">
      <formula>NOT(ISERROR(SEARCH("TRUE",D299)))</formula>
    </cfRule>
  </conditionalFormatting>
  <conditionalFormatting sqref="C305:C306">
    <cfRule type="containsText" dxfId="46" priority="31" operator="containsText" text="FALSE">
      <formula>NOT(ISERROR(SEARCH("FALSE",C305)))</formula>
    </cfRule>
    <cfRule type="containsText" dxfId="45" priority="32" operator="containsText" text="TRUE">
      <formula>NOT(ISERROR(SEARCH("TRUE",C305)))</formula>
    </cfRule>
  </conditionalFormatting>
  <conditionalFormatting sqref="D309">
    <cfRule type="containsText" dxfId="44" priority="29" operator="containsText" text="FALSE">
      <formula>NOT(ISERROR(SEARCH("FALSE",D309)))</formula>
    </cfRule>
    <cfRule type="containsText" dxfId="43" priority="30" operator="containsText" text="TRUE">
      <formula>NOT(ISERROR(SEARCH("TRUE",D309)))</formula>
    </cfRule>
  </conditionalFormatting>
  <conditionalFormatting sqref="C345:D346">
    <cfRule type="containsText" dxfId="42" priority="27" operator="containsText" text="FALSE">
      <formula>NOT(ISERROR(SEARCH("FALSE",C345)))</formula>
    </cfRule>
    <cfRule type="containsText" dxfId="41" priority="28" operator="containsText" text="TRUE">
      <formula>NOT(ISERROR(SEARCH("TRUE",C345)))</formula>
    </cfRule>
  </conditionalFormatting>
  <conditionalFormatting sqref="C362:D363">
    <cfRule type="containsText" dxfId="40" priority="25" operator="containsText" text="FALSE">
      <formula>NOT(ISERROR(SEARCH("FALSE",C362)))</formula>
    </cfRule>
    <cfRule type="containsText" dxfId="39" priority="26" operator="containsText" text="TRUE">
      <formula>NOT(ISERROR(SEARCH("TRUE",C362)))</formula>
    </cfRule>
  </conditionalFormatting>
  <conditionalFormatting sqref="D329">
    <cfRule type="containsText" dxfId="38" priority="23" operator="containsText" text="FALSE">
      <formula>NOT(ISERROR(SEARCH("FALSE",D329)))</formula>
    </cfRule>
    <cfRule type="containsText" dxfId="37" priority="24" operator="containsText" text="TRUE">
      <formula>NOT(ISERROR(SEARCH("TRUE",D329)))</formula>
    </cfRule>
  </conditionalFormatting>
  <conditionalFormatting sqref="I225 L225:XFD225 D225:G225 A225:B225">
    <cfRule type="containsText" dxfId="36" priority="21" operator="containsText" text="FALSE">
      <formula>NOT(ISERROR(SEARCH("FALSE",A225)))</formula>
    </cfRule>
    <cfRule type="containsText" dxfId="35" priority="22" operator="containsText" text="TRUE">
      <formula>NOT(ISERROR(SEARCH("TRUE",A225)))</formula>
    </cfRule>
  </conditionalFormatting>
  <conditionalFormatting sqref="C225">
    <cfRule type="containsText" dxfId="34" priority="19" operator="containsText" text="FALSE">
      <formula>NOT(ISERROR(SEARCH("FALSE",C225)))</formula>
    </cfRule>
    <cfRule type="containsText" dxfId="33" priority="20" operator="containsText" text="TRUE">
      <formula>NOT(ISERROR(SEARCH("TRUE",C225)))</formula>
    </cfRule>
  </conditionalFormatting>
  <conditionalFormatting sqref="G180:G181">
    <cfRule type="containsText" dxfId="32" priority="17" operator="containsText" text="FALSE">
      <formula>NOT(ISERROR(SEARCH("FALSE",G180)))</formula>
    </cfRule>
    <cfRule type="containsText" dxfId="31" priority="18" operator="containsText" text="TRUE">
      <formula>NOT(ISERROR(SEARCH("TRUE",G180)))</formula>
    </cfRule>
  </conditionalFormatting>
  <conditionalFormatting sqref="A172:B181 D172:E181 F176:G176 L172:XFD179 J177:J178 F172:I175 F179:I179 F178:G178 F177 I180:XFD181">
    <cfRule type="containsText" dxfId="30" priority="15" operator="containsText" text="FALSE">
      <formula>NOT(ISERROR(SEARCH("FALSE",A172)))</formula>
    </cfRule>
    <cfRule type="containsText" dxfId="29" priority="16" operator="containsText" text="TRUE">
      <formula>NOT(ISERROR(SEARCH("TRUE",A172)))</formula>
    </cfRule>
  </conditionalFormatting>
  <conditionalFormatting sqref="F180:F181">
    <cfRule type="containsText" dxfId="28" priority="13" operator="containsText" text="FALSE">
      <formula>NOT(ISERROR(SEARCH("FALSE",F180)))</formula>
    </cfRule>
    <cfRule type="containsText" dxfId="27" priority="14" operator="containsText" text="TRUE">
      <formula>NOT(ISERROR(SEARCH("TRUE",F180)))</formula>
    </cfRule>
  </conditionalFormatting>
  <conditionalFormatting sqref="I178">
    <cfRule type="containsText" dxfId="26" priority="11" operator="containsText" text="FALSE">
      <formula>NOT(ISERROR(SEARCH("FALSE",I178)))</formula>
    </cfRule>
    <cfRule type="containsText" dxfId="25" priority="12" operator="containsText" text="TRUE">
      <formula>NOT(ISERROR(SEARCH("TRUE",I178)))</formula>
    </cfRule>
  </conditionalFormatting>
  <conditionalFormatting sqref="C172:C179">
    <cfRule type="containsText" dxfId="24" priority="9" operator="containsText" text="FALSE">
      <formula>NOT(ISERROR(SEARCH("FALSE",C172)))</formula>
    </cfRule>
    <cfRule type="containsText" dxfId="23" priority="10" operator="containsText" text="TRUE">
      <formula>NOT(ISERROR(SEARCH("TRUE",C172)))</formula>
    </cfRule>
  </conditionalFormatting>
  <conditionalFormatting sqref="H178">
    <cfRule type="containsText" dxfId="22" priority="7" operator="containsText" text="FALSE">
      <formula>NOT(ISERROR(SEARCH("FALSE",H178)))</formula>
    </cfRule>
    <cfRule type="containsText" dxfId="21" priority="8" operator="containsText" text="TRUE">
      <formula>NOT(ISERROR(SEARCH("TRUE",H178)))</formula>
    </cfRule>
  </conditionalFormatting>
  <conditionalFormatting sqref="G177">
    <cfRule type="containsText" dxfId="20" priority="5" operator="containsText" text="FALSE">
      <formula>NOT(ISERROR(SEARCH("FALSE",G177)))</formula>
    </cfRule>
    <cfRule type="containsText" dxfId="19" priority="6" operator="containsText" text="TRUE">
      <formula>NOT(ISERROR(SEARCH("TRUE",G177)))</formula>
    </cfRule>
  </conditionalFormatting>
  <conditionalFormatting sqref="C180:C181">
    <cfRule type="containsText" dxfId="18" priority="3" operator="containsText" text="FALSE">
      <formula>NOT(ISERROR(SEARCH("FALSE",C180)))</formula>
    </cfRule>
    <cfRule type="containsText" dxfId="17" priority="4" operator="containsText" text="TRUE">
      <formula>NOT(ISERROR(SEARCH("TRUE",C180)))</formula>
    </cfRule>
  </conditionalFormatting>
  <conditionalFormatting sqref="H180:H181">
    <cfRule type="containsText" dxfId="16" priority="1" operator="containsText" text="FALSE">
      <formula>NOT(ISERROR(SEARCH("FALSE",H180)))</formula>
    </cfRule>
    <cfRule type="containsText" dxfId="15" priority="2" operator="containsText" text="TRUE">
      <formula>NOT(ISERROR(SEARCH("TRUE",H180)))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78"/>
  <sheetViews>
    <sheetView view="pageBreakPreview" zoomScale="175" zoomScaleNormal="100" zoomScaleSheetLayoutView="175" workbookViewId="0">
      <selection activeCell="C9" sqref="C9"/>
    </sheetView>
  </sheetViews>
  <sheetFormatPr defaultRowHeight="15" x14ac:dyDescent="0.25"/>
  <cols>
    <col min="1" max="1" width="4.7109375" style="134" customWidth="1"/>
    <col min="2" max="2" width="32.7109375" style="169" hidden="1" customWidth="1"/>
    <col min="3" max="3" width="67.85546875" style="178" customWidth="1"/>
    <col min="4" max="4" width="8.140625" style="179" bestFit="1" customWidth="1"/>
    <col min="5" max="6" width="20.85546875" style="169" bestFit="1" customWidth="1"/>
    <col min="7" max="7" width="12.140625" customWidth="1"/>
    <col min="9" max="10" width="16.7109375" style="169" customWidth="1"/>
    <col min="12" max="13" width="16.42578125" bestFit="1" customWidth="1"/>
  </cols>
  <sheetData>
    <row r="1" spans="1:13" ht="15.75" thickBot="1" x14ac:dyDescent="0.3">
      <c r="B1" s="275" t="str">
        <f>BC_TinhHinh_TaiChinh!B1</f>
        <v>Công ty ABC</v>
      </c>
      <c r="C1" s="135"/>
      <c r="D1" s="136"/>
      <c r="E1" s="137" t="s">
        <v>806</v>
      </c>
      <c r="F1" s="137" t="s">
        <v>806</v>
      </c>
      <c r="I1" s="138"/>
      <c r="J1" s="138"/>
    </row>
    <row r="2" spans="1:13" ht="15.75" thickBot="1" x14ac:dyDescent="0.3">
      <c r="B2" s="135"/>
      <c r="C2" s="135" t="s">
        <v>1090</v>
      </c>
      <c r="D2" s="136"/>
      <c r="E2" s="139" t="str">
        <f>BC_TinhHinh_TaiChinh!G2</f>
        <v>SEPARATE</v>
      </c>
      <c r="F2" s="139" t="str">
        <f>BC_TinhHinh_TaiChinh!H2</f>
        <v>SEPARATE</v>
      </c>
      <c r="I2" s="140"/>
      <c r="J2" s="140"/>
    </row>
    <row r="3" spans="1:13" ht="15.75" thickBot="1" x14ac:dyDescent="0.3">
      <c r="B3" s="141"/>
      <c r="C3" s="141"/>
      <c r="D3" s="142"/>
      <c r="E3" s="143" t="s">
        <v>1085</v>
      </c>
      <c r="F3" s="143" t="s">
        <v>1086</v>
      </c>
      <c r="G3" s="144"/>
      <c r="H3" s="144"/>
      <c r="I3" s="140"/>
      <c r="J3" s="140"/>
      <c r="K3" s="144"/>
    </row>
    <row r="4" spans="1:13" ht="36.75" thickBot="1" x14ac:dyDescent="0.3">
      <c r="B4" s="145" t="s">
        <v>313</v>
      </c>
      <c r="C4" s="145" t="s">
        <v>314</v>
      </c>
      <c r="D4" s="146" t="s">
        <v>571</v>
      </c>
      <c r="E4" s="146" t="str">
        <f>E3</f>
        <v>2020</v>
      </c>
      <c r="F4" s="146" t="str">
        <f>F3</f>
        <v>2019</v>
      </c>
      <c r="G4" s="144"/>
      <c r="H4" s="144"/>
      <c r="I4" s="147" t="s">
        <v>575</v>
      </c>
      <c r="J4" s="147" t="s">
        <v>575</v>
      </c>
      <c r="K4" s="144"/>
    </row>
    <row r="5" spans="1:13" x14ac:dyDescent="0.25">
      <c r="B5" s="148"/>
      <c r="C5" s="148"/>
      <c r="D5" s="142"/>
      <c r="E5" s="148"/>
      <c r="F5" s="148"/>
      <c r="G5" s="144"/>
      <c r="H5" s="144"/>
      <c r="I5" s="149"/>
      <c r="J5" s="149"/>
      <c r="K5" s="144"/>
    </row>
    <row r="6" spans="1:13" x14ac:dyDescent="0.25">
      <c r="A6" s="150"/>
      <c r="B6" s="151" t="s">
        <v>807</v>
      </c>
      <c r="C6" s="151" t="s">
        <v>623</v>
      </c>
      <c r="D6" s="152"/>
      <c r="E6" s="153"/>
      <c r="F6" s="153"/>
      <c r="G6" s="154"/>
      <c r="H6" s="154"/>
      <c r="I6" s="155"/>
      <c r="J6" s="155"/>
      <c r="K6" s="154"/>
    </row>
    <row r="7" spans="1:13" x14ac:dyDescent="0.25">
      <c r="A7" s="134" t="str">
        <f ca="1">IF(AND(A6="H",SUM(E7:F7)=""),"S",IF(SUM(E7:F7)=0,"H","S"))</f>
        <v>S</v>
      </c>
      <c r="B7" s="151" t="s">
        <v>785</v>
      </c>
      <c r="C7" s="151" t="s">
        <v>808</v>
      </c>
      <c r="D7" s="142">
        <v>1</v>
      </c>
      <c r="E7" s="153">
        <f ca="1">SUMIFS('DongTien_Working 2020'!$F:$F,'DongTien_Working 2020'!$E:$E,BC_DongTien!D7)</f>
        <v>79290637648</v>
      </c>
      <c r="F7" s="153">
        <v>85244816784</v>
      </c>
      <c r="G7" s="144"/>
      <c r="H7" s="144"/>
      <c r="I7" s="156">
        <f ca="1">E7-BC_KQKD!G30</f>
        <v>-5954179136</v>
      </c>
      <c r="J7" s="156">
        <f>F7-BC_KQKD!H30</f>
        <v>42165432059</v>
      </c>
      <c r="K7" s="144"/>
      <c r="L7" s="350">
        <v>85244816784</v>
      </c>
      <c r="M7" s="350">
        <v>43079384725</v>
      </c>
    </row>
    <row r="8" spans="1:13" x14ac:dyDescent="0.25">
      <c r="A8" s="134" t="str">
        <f t="shared" ref="A8:A54" ca="1" si="0">IF(AND(A7="H",SUM(E8:F8)=""),"S",IF(SUM(E8:F8)=0,"H","S"))</f>
        <v>H</v>
      </c>
      <c r="B8" s="157" t="s">
        <v>591</v>
      </c>
      <c r="C8" s="157" t="s">
        <v>624</v>
      </c>
      <c r="D8" s="158"/>
      <c r="E8" s="159"/>
      <c r="F8" s="159"/>
      <c r="G8" s="144"/>
      <c r="H8" s="144"/>
      <c r="I8" s="155"/>
      <c r="J8" s="155"/>
      <c r="K8" s="144"/>
      <c r="L8" s="350">
        <v>0</v>
      </c>
      <c r="M8" s="350">
        <v>0</v>
      </c>
    </row>
    <row r="9" spans="1:13" x14ac:dyDescent="0.25">
      <c r="A9" s="134" t="str">
        <f t="shared" ca="1" si="0"/>
        <v>S</v>
      </c>
      <c r="B9" s="148" t="s">
        <v>783</v>
      </c>
      <c r="C9" s="148" t="s">
        <v>809</v>
      </c>
      <c r="D9" s="142">
        <v>2</v>
      </c>
      <c r="E9" s="159">
        <f ca="1">SUMIFS('DongTien_Working 2020'!$F:$F,'DongTien_Working 2020'!$E:$E,BC_DongTien!D9)</f>
        <v>174026262260</v>
      </c>
      <c r="F9" s="159">
        <v>173922831529</v>
      </c>
      <c r="G9" s="144"/>
      <c r="H9" s="144"/>
      <c r="I9" s="149"/>
      <c r="J9" s="149"/>
      <c r="K9" s="144"/>
      <c r="L9" s="350">
        <v>173922831529</v>
      </c>
      <c r="M9" s="350">
        <v>173352531094</v>
      </c>
    </row>
    <row r="10" spans="1:13" x14ac:dyDescent="0.25">
      <c r="A10" s="134" t="str">
        <f t="shared" ca="1" si="0"/>
        <v>H</v>
      </c>
      <c r="B10" s="141" t="s">
        <v>810</v>
      </c>
      <c r="C10" s="141" t="s">
        <v>625</v>
      </c>
      <c r="D10" s="142">
        <v>3</v>
      </c>
      <c r="E10" s="159">
        <f>SUMIFS('DongTien_Working 2020'!$F:$F,'DongTien_Working 2020'!$E:$E,BC_DongTien!D10)</f>
        <v>0</v>
      </c>
      <c r="F10" s="159">
        <v>0</v>
      </c>
      <c r="G10" s="144"/>
      <c r="H10" s="144"/>
      <c r="I10" s="155"/>
      <c r="J10" s="155"/>
      <c r="K10" s="144"/>
      <c r="L10" s="350">
        <v>0</v>
      </c>
      <c r="M10" s="350">
        <v>0</v>
      </c>
    </row>
    <row r="11" spans="1:13" x14ac:dyDescent="0.25">
      <c r="A11" s="134" t="str">
        <f t="shared" ca="1" si="0"/>
        <v>H</v>
      </c>
      <c r="B11" s="141" t="s">
        <v>811</v>
      </c>
      <c r="C11" s="141" t="s">
        <v>661</v>
      </c>
      <c r="D11" s="142">
        <v>4</v>
      </c>
      <c r="E11" s="159">
        <f>SUMIFS('DongTien_Working 2020'!$F:$F,'DongTien_Working 2020'!$E:$E,BC_DongTien!D11)</f>
        <v>0</v>
      </c>
      <c r="F11" s="159">
        <v>0</v>
      </c>
      <c r="G11" s="144"/>
      <c r="H11" s="144"/>
      <c r="I11" s="155"/>
      <c r="J11" s="155"/>
      <c r="K11" s="144"/>
      <c r="L11" s="350">
        <v>0</v>
      </c>
      <c r="M11" s="350">
        <v>0</v>
      </c>
    </row>
    <row r="12" spans="1:13" x14ac:dyDescent="0.25">
      <c r="A12" s="134" t="str">
        <f t="shared" ca="1" si="0"/>
        <v>S</v>
      </c>
      <c r="B12" s="141" t="s">
        <v>812</v>
      </c>
      <c r="C12" s="141" t="s">
        <v>813</v>
      </c>
      <c r="D12" s="142">
        <v>5</v>
      </c>
      <c r="E12" s="159">
        <f ca="1">SUMIFS('DongTien_Working 2020'!$F:$F,'DongTien_Working 2020'!$E:$E,BC_DongTien!D12)</f>
        <v>-131691</v>
      </c>
      <c r="F12" s="159">
        <v>-246551</v>
      </c>
      <c r="G12" s="144"/>
      <c r="H12" s="144"/>
      <c r="I12" s="155"/>
      <c r="J12" s="155"/>
      <c r="K12" s="144"/>
      <c r="L12" s="350">
        <v>-246551</v>
      </c>
      <c r="M12" s="350">
        <v>-264925</v>
      </c>
    </row>
    <row r="13" spans="1:13" x14ac:dyDescent="0.25">
      <c r="A13" s="134" t="str">
        <f t="shared" ca="1" si="0"/>
        <v>S</v>
      </c>
      <c r="B13" s="160" t="s">
        <v>814</v>
      </c>
      <c r="C13" s="160" t="s">
        <v>815</v>
      </c>
      <c r="D13" s="142">
        <v>6</v>
      </c>
      <c r="E13" s="159">
        <f ca="1">SUMIFS('DongTien_Working 2020'!$F:$F,'DongTien_Working 2020'!$E:$E,BC_DongTien!D13)</f>
        <v>1200000000</v>
      </c>
      <c r="F13" s="159">
        <v>0</v>
      </c>
      <c r="G13" s="144"/>
      <c r="H13" s="144"/>
      <c r="I13" s="155"/>
      <c r="J13" s="155"/>
      <c r="K13" s="144"/>
      <c r="L13" s="350">
        <v>0</v>
      </c>
      <c r="M13" s="350">
        <v>0</v>
      </c>
    </row>
    <row r="14" spans="1:13" ht="15.75" thickBot="1" x14ac:dyDescent="0.3">
      <c r="A14" s="134" t="str">
        <f t="shared" ca="1" si="0"/>
        <v>H</v>
      </c>
      <c r="B14" s="160"/>
      <c r="C14" s="160"/>
      <c r="D14" s="142"/>
      <c r="E14" s="161"/>
      <c r="F14" s="161"/>
      <c r="G14" s="144"/>
      <c r="H14" s="144"/>
      <c r="I14" s="155"/>
      <c r="J14" s="155"/>
      <c r="K14" s="144"/>
      <c r="L14" s="350">
        <v>0</v>
      </c>
      <c r="M14" s="350">
        <v>0</v>
      </c>
    </row>
    <row r="15" spans="1:13" x14ac:dyDescent="0.25">
      <c r="A15" s="134" t="str">
        <f t="shared" ca="1" si="0"/>
        <v>S</v>
      </c>
      <c r="B15" s="162" t="s">
        <v>816</v>
      </c>
      <c r="C15" s="162" t="s">
        <v>817</v>
      </c>
      <c r="D15" s="152">
        <v>8</v>
      </c>
      <c r="E15" s="153">
        <f ca="1">SUMIFS('DongTien_Working 2020'!$F:$F,'DongTien_Working 2020'!$E:$E,BC_DongTien!D15)</f>
        <v>254516768217</v>
      </c>
      <c r="F15" s="153">
        <v>259167401762</v>
      </c>
      <c r="G15" s="144"/>
      <c r="H15" s="144"/>
      <c r="I15" s="155">
        <f ca="1">E15-SUM(E7:E13)</f>
        <v>0</v>
      </c>
      <c r="J15" s="155">
        <f>F15-SUM(F7:F13)</f>
        <v>0</v>
      </c>
      <c r="K15" s="144"/>
      <c r="L15" s="350">
        <v>259167401762</v>
      </c>
      <c r="M15" s="350">
        <v>216431650894</v>
      </c>
    </row>
    <row r="16" spans="1:13" x14ac:dyDescent="0.25">
      <c r="A16" s="134" t="str">
        <f t="shared" ca="1" si="0"/>
        <v>H</v>
      </c>
      <c r="B16" s="160"/>
      <c r="C16" s="160"/>
      <c r="D16" s="163"/>
      <c r="E16" s="159"/>
      <c r="F16" s="159"/>
      <c r="G16" s="144"/>
      <c r="H16" s="144"/>
      <c r="I16" s="155"/>
      <c r="J16" s="155"/>
      <c r="K16" s="144"/>
      <c r="L16" s="350">
        <v>0</v>
      </c>
      <c r="M16" s="350">
        <v>0</v>
      </c>
    </row>
    <row r="17" spans="1:13" x14ac:dyDescent="0.25">
      <c r="A17" s="134" t="str">
        <f t="shared" ca="1" si="0"/>
        <v>S</v>
      </c>
      <c r="B17" s="160" t="s">
        <v>818</v>
      </c>
      <c r="C17" s="160" t="s">
        <v>819</v>
      </c>
      <c r="D17" s="142">
        <v>9</v>
      </c>
      <c r="E17" s="159">
        <f ca="1">SUMIFS('DongTien_Working 2020'!$F:$F,'DongTien_Working 2020'!$E:$E,BC_DongTien!D17)</f>
        <v>8919636356</v>
      </c>
      <c r="F17" s="159">
        <v>-8029814336</v>
      </c>
      <c r="G17" s="144"/>
      <c r="H17" s="144"/>
      <c r="I17" s="155"/>
      <c r="J17" s="155"/>
      <c r="K17" s="144"/>
      <c r="L17" s="350">
        <v>-8029814336</v>
      </c>
      <c r="M17" s="350">
        <v>346828013</v>
      </c>
    </row>
    <row r="18" spans="1:13" x14ac:dyDescent="0.25">
      <c r="A18" s="134" t="str">
        <f t="shared" ca="1" si="0"/>
        <v>H</v>
      </c>
      <c r="B18" s="160" t="s">
        <v>594</v>
      </c>
      <c r="C18" s="160" t="s">
        <v>820</v>
      </c>
      <c r="D18" s="142">
        <v>10</v>
      </c>
      <c r="E18" s="159">
        <f>SUMIFS('DongTien_Working 2020'!$F:$F,'DongTien_Working 2020'!$E:$E,BC_DongTien!D18)</f>
        <v>0</v>
      </c>
      <c r="F18" s="159">
        <v>0</v>
      </c>
      <c r="G18" s="144"/>
      <c r="H18" s="144"/>
      <c r="I18" s="155"/>
      <c r="J18" s="155"/>
      <c r="K18" s="144"/>
      <c r="L18" s="350">
        <v>0</v>
      </c>
      <c r="M18" s="350">
        <v>0</v>
      </c>
    </row>
    <row r="19" spans="1:13" x14ac:dyDescent="0.25">
      <c r="A19" s="134" t="str">
        <f t="shared" ca="1" si="0"/>
        <v>S</v>
      </c>
      <c r="B19" s="148" t="s">
        <v>595</v>
      </c>
      <c r="C19" s="160" t="s">
        <v>821</v>
      </c>
      <c r="D19" s="142">
        <v>11</v>
      </c>
      <c r="E19" s="159">
        <f ca="1">SUMIFS('DongTien_Working 2020'!$F:$F,'DongTien_Working 2020'!$E:$E,BC_DongTien!D19)</f>
        <v>1582106432361</v>
      </c>
      <c r="F19" s="159">
        <v>-251303184824</v>
      </c>
      <c r="G19" s="144"/>
      <c r="H19" s="144"/>
      <c r="I19" s="155"/>
      <c r="J19" s="155"/>
      <c r="K19" s="144"/>
      <c r="L19" s="350">
        <v>-251303184824</v>
      </c>
      <c r="M19" s="350">
        <v>-216635792064</v>
      </c>
    </row>
    <row r="20" spans="1:13" x14ac:dyDescent="0.25">
      <c r="A20" s="134" t="str">
        <f t="shared" ca="1" si="0"/>
        <v>H</v>
      </c>
      <c r="B20" s="164" t="s">
        <v>596</v>
      </c>
      <c r="C20" s="141" t="s">
        <v>822</v>
      </c>
      <c r="D20" s="142">
        <v>12</v>
      </c>
      <c r="E20" s="159">
        <f>SUMIFS('DongTien_Working 2020'!$F:$F,'DongTien_Working 2020'!$E:$E,BC_DongTien!D20)</f>
        <v>0</v>
      </c>
      <c r="F20" s="159">
        <v>0</v>
      </c>
      <c r="G20" s="144"/>
      <c r="H20" s="144"/>
      <c r="I20" s="155"/>
      <c r="J20" s="155"/>
      <c r="K20" s="144"/>
      <c r="L20" s="350">
        <v>0</v>
      </c>
      <c r="M20" s="350">
        <v>0</v>
      </c>
    </row>
    <row r="21" spans="1:13" ht="15.75" thickBot="1" x14ac:dyDescent="0.3">
      <c r="A21" s="134" t="str">
        <f t="shared" ca="1" si="0"/>
        <v>H</v>
      </c>
      <c r="B21" s="141"/>
      <c r="C21" s="165"/>
      <c r="D21" s="142"/>
      <c r="E21" s="161"/>
      <c r="F21" s="161"/>
      <c r="G21" s="144"/>
      <c r="H21" s="144"/>
      <c r="I21" s="155"/>
      <c r="J21" s="155"/>
      <c r="K21" s="144"/>
      <c r="L21" s="350">
        <v>0</v>
      </c>
      <c r="M21" s="350">
        <v>0</v>
      </c>
    </row>
    <row r="22" spans="1:13" x14ac:dyDescent="0.25">
      <c r="A22" s="134" t="str">
        <f t="shared" ca="1" si="0"/>
        <v>S</v>
      </c>
      <c r="B22" s="141"/>
      <c r="C22" s="165"/>
      <c r="D22" s="142"/>
      <c r="E22" s="153">
        <f ca="1">SUM(E15:E20)</f>
        <v>1845542836934</v>
      </c>
      <c r="F22" s="153">
        <v>-165597398</v>
      </c>
      <c r="G22" s="144"/>
      <c r="H22" s="144"/>
      <c r="I22" s="155">
        <f ca="1">E22-SUM(E15:E20)</f>
        <v>0</v>
      </c>
      <c r="J22" s="155">
        <f>F22-SUM(F15:F20)</f>
        <v>0</v>
      </c>
      <c r="K22" s="144"/>
      <c r="L22" s="350">
        <v>-165597398</v>
      </c>
      <c r="M22" s="350">
        <v>142686843</v>
      </c>
    </row>
    <row r="23" spans="1:13" x14ac:dyDescent="0.25">
      <c r="A23" s="134" t="str">
        <f t="shared" ca="1" si="0"/>
        <v>H</v>
      </c>
      <c r="B23" s="141"/>
      <c r="C23" s="141"/>
      <c r="D23" s="142"/>
      <c r="E23" s="153"/>
      <c r="F23" s="153"/>
      <c r="G23" s="144"/>
      <c r="H23" s="144"/>
      <c r="I23" s="155"/>
      <c r="J23" s="155"/>
      <c r="K23" s="144"/>
      <c r="L23" s="350">
        <v>0</v>
      </c>
      <c r="M23" s="350">
        <v>0</v>
      </c>
    </row>
    <row r="24" spans="1:13" x14ac:dyDescent="0.25">
      <c r="A24" s="134" t="str">
        <f t="shared" ca="1" si="0"/>
        <v>S</v>
      </c>
      <c r="B24" s="160" t="s">
        <v>823</v>
      </c>
      <c r="C24" s="160" t="s">
        <v>824</v>
      </c>
      <c r="D24" s="142">
        <v>14</v>
      </c>
      <c r="E24" s="159">
        <f ca="1">SUMIFS('DongTien_Working 2020'!$F:$F,'DongTien_Working 2020'!$E:$E,BC_DongTien!D24)</f>
        <v>-900000000</v>
      </c>
      <c r="F24" s="159">
        <v>0</v>
      </c>
      <c r="G24" s="144"/>
      <c r="H24" s="144"/>
      <c r="I24" s="155"/>
      <c r="J24" s="155"/>
      <c r="K24" s="144"/>
      <c r="L24" s="350">
        <v>0</v>
      </c>
      <c r="M24" s="350">
        <v>0</v>
      </c>
    </row>
    <row r="25" spans="1:13" x14ac:dyDescent="0.25">
      <c r="A25" s="134" t="str">
        <f t="shared" ca="1" si="0"/>
        <v>S</v>
      </c>
      <c r="B25" s="160" t="s">
        <v>825</v>
      </c>
      <c r="C25" s="160" t="s">
        <v>633</v>
      </c>
      <c r="D25" s="142">
        <v>15</v>
      </c>
      <c r="E25" s="166">
        <f>SUMIFS('DongTien_Working 2020'!$F:$F,'DongTien_Working 2020'!$E:$E,BC_DongTien!D25)</f>
        <v>-4543595647</v>
      </c>
      <c r="F25" s="166">
        <v>0</v>
      </c>
      <c r="G25" s="144"/>
      <c r="H25" s="144"/>
      <c r="I25" s="155"/>
      <c r="J25" s="155"/>
      <c r="K25" s="144"/>
      <c r="L25" s="350">
        <v>0</v>
      </c>
      <c r="M25" s="350">
        <v>0</v>
      </c>
    </row>
    <row r="26" spans="1:13" x14ac:dyDescent="0.25">
      <c r="B26" s="160" t="s">
        <v>600</v>
      </c>
      <c r="C26" s="160" t="s">
        <v>634</v>
      </c>
      <c r="D26" s="142">
        <v>16</v>
      </c>
      <c r="E26" s="166">
        <f>SUMIFS('DongTien_Working 2020'!$F:$F,'DongTien_Working 2020'!$E:$E,BC_DongTien!D26)</f>
        <v>0</v>
      </c>
      <c r="F26" s="166">
        <v>0</v>
      </c>
      <c r="G26" s="144"/>
      <c r="H26" s="144"/>
      <c r="I26" s="155"/>
      <c r="J26" s="155"/>
      <c r="K26" s="144"/>
      <c r="L26" s="350">
        <v>0</v>
      </c>
      <c r="M26" s="350">
        <v>0</v>
      </c>
    </row>
    <row r="27" spans="1:13" x14ac:dyDescent="0.25">
      <c r="B27" s="160" t="s">
        <v>601</v>
      </c>
      <c r="C27" s="160" t="s">
        <v>635</v>
      </c>
      <c r="D27" s="142">
        <v>17</v>
      </c>
      <c r="E27" s="166">
        <f>SUMIFS('DongTien_Working 2020'!$F:$F,'DongTien_Working 2020'!$E:$E,BC_DongTien!D27)</f>
        <v>0</v>
      </c>
      <c r="F27" s="166">
        <v>0</v>
      </c>
      <c r="G27" s="144"/>
      <c r="H27" s="144"/>
      <c r="I27" s="155"/>
      <c r="J27" s="155"/>
      <c r="K27" s="144"/>
      <c r="L27" s="350">
        <v>0</v>
      </c>
      <c r="M27" s="350">
        <v>0</v>
      </c>
    </row>
    <row r="28" spans="1:13" ht="15.75" thickBot="1" x14ac:dyDescent="0.3">
      <c r="B28" s="160"/>
      <c r="C28" s="160"/>
      <c r="D28" s="142"/>
      <c r="E28" s="161"/>
      <c r="F28" s="161"/>
      <c r="G28" s="144"/>
      <c r="H28" s="144"/>
      <c r="I28" s="155"/>
      <c r="J28" s="155"/>
      <c r="K28" s="144"/>
      <c r="L28" s="350">
        <v>0</v>
      </c>
      <c r="M28" s="350">
        <v>0</v>
      </c>
    </row>
    <row r="29" spans="1:13" x14ac:dyDescent="0.25">
      <c r="A29" s="134" t="str">
        <f ca="1">IF(AND(A25="H",SUM(E29:F29)=""),"S",IF(SUM(E29:F29)=0,"H","S"))</f>
        <v>S</v>
      </c>
      <c r="B29" s="151" t="s">
        <v>602</v>
      </c>
      <c r="C29" s="151" t="s">
        <v>826</v>
      </c>
      <c r="D29" s="152">
        <v>20</v>
      </c>
      <c r="E29" s="153">
        <f ca="1">SUMIFS('DongTien_Working 2020'!$F:$F,'DongTien_Working 2020'!$E:$E,BC_DongTien!D29)</f>
        <v>1840099241287</v>
      </c>
      <c r="F29" s="153">
        <v>-165597398</v>
      </c>
      <c r="G29" s="144"/>
      <c r="H29" s="144"/>
      <c r="I29" s="155">
        <f ca="1">E29-SUM(E22:E27)</f>
        <v>0</v>
      </c>
      <c r="J29" s="155">
        <f>F29-SUM(F22:F27)</f>
        <v>0</v>
      </c>
      <c r="K29" s="144"/>
      <c r="L29" s="350">
        <v>-165597398</v>
      </c>
      <c r="M29" s="350">
        <v>142686843</v>
      </c>
    </row>
    <row r="30" spans="1:13" x14ac:dyDescent="0.25">
      <c r="A30" s="134" t="str">
        <f t="shared" ca="1" si="0"/>
        <v>H</v>
      </c>
      <c r="B30" s="148"/>
      <c r="C30" s="148"/>
      <c r="D30" s="142"/>
      <c r="E30" s="159"/>
      <c r="F30" s="159"/>
      <c r="G30" s="144"/>
      <c r="H30" s="144"/>
      <c r="I30" s="155"/>
      <c r="J30" s="155"/>
      <c r="K30" s="144"/>
      <c r="L30" s="350">
        <v>0</v>
      </c>
      <c r="M30" s="350">
        <v>0</v>
      </c>
    </row>
    <row r="31" spans="1:13" x14ac:dyDescent="0.25">
      <c r="A31" s="134" t="str">
        <f t="shared" ca="1" si="0"/>
        <v>H</v>
      </c>
      <c r="B31" s="160"/>
      <c r="C31" s="141"/>
      <c r="D31" s="142"/>
      <c r="E31" s="159"/>
      <c r="F31" s="159"/>
      <c r="G31" s="144"/>
      <c r="H31" s="144"/>
      <c r="I31" s="155"/>
      <c r="J31" s="155"/>
      <c r="K31" s="144"/>
      <c r="L31" s="350">
        <v>0</v>
      </c>
      <c r="M31" s="350">
        <v>0</v>
      </c>
    </row>
    <row r="32" spans="1:13" x14ac:dyDescent="0.25">
      <c r="A32" s="134" t="str">
        <f t="shared" ca="1" si="0"/>
        <v>H</v>
      </c>
      <c r="B32" s="167" t="s">
        <v>827</v>
      </c>
      <c r="C32" s="151" t="s">
        <v>637</v>
      </c>
      <c r="D32" s="152"/>
      <c r="E32" s="153"/>
      <c r="F32" s="153"/>
      <c r="G32" s="144"/>
      <c r="H32" s="144"/>
      <c r="I32" s="155"/>
      <c r="J32" s="155"/>
      <c r="K32" s="144"/>
      <c r="L32" s="350">
        <v>0</v>
      </c>
      <c r="M32" s="350">
        <v>0</v>
      </c>
    </row>
    <row r="33" spans="1:13" x14ac:dyDescent="0.25">
      <c r="A33" s="134" t="str">
        <f t="shared" ca="1" si="0"/>
        <v>S</v>
      </c>
      <c r="B33" s="168" t="s">
        <v>828</v>
      </c>
      <c r="C33" s="141" t="s">
        <v>829</v>
      </c>
      <c r="D33" s="142">
        <v>21</v>
      </c>
      <c r="E33" s="159">
        <f ca="1">SUMIFS('DongTien_Working 2020'!$F:$F,'DongTien_Working 2020'!$E:$E,BC_DongTien!D33)</f>
        <v>-54063487923</v>
      </c>
      <c r="F33" s="159">
        <v>0</v>
      </c>
      <c r="G33" s="144"/>
      <c r="H33" s="144"/>
      <c r="I33" s="155"/>
      <c r="J33" s="155"/>
      <c r="K33" s="144"/>
      <c r="L33" s="350">
        <v>0</v>
      </c>
      <c r="M33" s="350">
        <v>0</v>
      </c>
    </row>
    <row r="34" spans="1:13" x14ac:dyDescent="0.25">
      <c r="A34" s="134" t="str">
        <f t="shared" ca="1" si="0"/>
        <v>H</v>
      </c>
      <c r="B34" s="168" t="s">
        <v>830</v>
      </c>
      <c r="C34" s="141" t="s">
        <v>831</v>
      </c>
      <c r="D34" s="142">
        <v>22</v>
      </c>
      <c r="E34" s="159">
        <f>SUMIFS('DongTien_Working 2020'!$F:$F,'DongTien_Working 2020'!$E:$E,BC_DongTien!D34)</f>
        <v>0</v>
      </c>
      <c r="F34" s="159">
        <v>0</v>
      </c>
      <c r="G34" s="144"/>
      <c r="H34" s="144"/>
      <c r="I34" s="155"/>
      <c r="J34" s="155"/>
      <c r="K34" s="144"/>
      <c r="L34" s="350">
        <v>0</v>
      </c>
      <c r="M34" s="350">
        <v>0</v>
      </c>
    </row>
    <row r="35" spans="1:13" x14ac:dyDescent="0.25">
      <c r="A35" s="134" t="str">
        <f t="shared" ca="1" si="0"/>
        <v>H</v>
      </c>
      <c r="B35" s="168" t="s">
        <v>832</v>
      </c>
      <c r="C35" s="141" t="s">
        <v>833</v>
      </c>
      <c r="D35" s="142">
        <v>23</v>
      </c>
      <c r="E35" s="159">
        <f>SUMIFS('DongTien_Working 2020'!$F:$F,'DongTien_Working 2020'!$E:$E,BC_DongTien!D35)</f>
        <v>0</v>
      </c>
      <c r="F35" s="159">
        <v>0</v>
      </c>
      <c r="G35" s="144"/>
      <c r="H35" s="144"/>
      <c r="I35" s="155"/>
      <c r="J35" s="155"/>
      <c r="K35" s="144"/>
      <c r="L35" s="350">
        <v>0</v>
      </c>
      <c r="M35" s="350">
        <v>0</v>
      </c>
    </row>
    <row r="36" spans="1:13" x14ac:dyDescent="0.25">
      <c r="A36" s="134" t="str">
        <f t="shared" ca="1" si="0"/>
        <v>H</v>
      </c>
      <c r="B36" s="168" t="s">
        <v>834</v>
      </c>
      <c r="C36" s="141" t="s">
        <v>835</v>
      </c>
      <c r="D36" s="142">
        <v>24</v>
      </c>
      <c r="E36" s="159">
        <f>SUMIFS('DongTien_Working 2020'!$F:$F,'DongTien_Working 2020'!$E:$E,BC_DongTien!D36)</f>
        <v>0</v>
      </c>
      <c r="F36" s="159">
        <v>0</v>
      </c>
      <c r="G36" s="144"/>
      <c r="H36" s="144"/>
      <c r="I36" s="155"/>
      <c r="J36" s="155"/>
      <c r="K36" s="144"/>
      <c r="L36" s="350">
        <v>0</v>
      </c>
      <c r="M36" s="350">
        <v>0</v>
      </c>
    </row>
    <row r="37" spans="1:13" x14ac:dyDescent="0.25">
      <c r="A37" s="134" t="str">
        <f t="shared" ca="1" si="0"/>
        <v>S</v>
      </c>
      <c r="B37" s="168" t="s">
        <v>836</v>
      </c>
      <c r="C37" s="141" t="s">
        <v>837</v>
      </c>
      <c r="D37" s="142">
        <v>25</v>
      </c>
      <c r="E37" s="159">
        <f ca="1">SUMIFS('DongTien_Working 2020'!$F:$F,'DongTien_Working 2020'!$E:$E,BC_DongTien!D37)</f>
        <v>-1841300000000</v>
      </c>
      <c r="F37" s="159">
        <v>0</v>
      </c>
      <c r="G37" s="144"/>
      <c r="H37" s="144"/>
      <c r="I37" s="155"/>
      <c r="J37" s="155"/>
      <c r="K37" s="144"/>
      <c r="L37" s="350">
        <v>0</v>
      </c>
      <c r="M37" s="350">
        <v>0</v>
      </c>
    </row>
    <row r="38" spans="1:13" x14ac:dyDescent="0.25">
      <c r="A38" s="134" t="str">
        <f t="shared" ca="1" si="0"/>
        <v>S</v>
      </c>
      <c r="B38" s="168" t="s">
        <v>610</v>
      </c>
      <c r="C38" s="141" t="s">
        <v>838</v>
      </c>
      <c r="D38" s="142">
        <v>27</v>
      </c>
      <c r="E38" s="159">
        <f ca="1">SUMIFS('DongTien_Working 2020'!$F:$F,'DongTien_Working 2020'!$E:$E,BC_DongTien!D38)</f>
        <v>131691</v>
      </c>
      <c r="F38" s="159">
        <v>246551</v>
      </c>
      <c r="G38" s="144"/>
      <c r="H38" s="144"/>
      <c r="I38" s="155"/>
      <c r="J38" s="155"/>
      <c r="K38" s="144"/>
      <c r="L38" s="350">
        <v>246551</v>
      </c>
      <c r="M38" s="350">
        <v>264925</v>
      </c>
    </row>
    <row r="39" spans="1:13" ht="15.75" thickBot="1" x14ac:dyDescent="0.3">
      <c r="A39" s="134" t="str">
        <f t="shared" ca="1" si="0"/>
        <v>H</v>
      </c>
      <c r="C39" s="141"/>
      <c r="D39" s="142"/>
      <c r="E39" s="161"/>
      <c r="F39" s="161"/>
      <c r="G39" s="144"/>
      <c r="H39" s="144"/>
      <c r="I39" s="155"/>
      <c r="J39" s="155"/>
      <c r="K39" s="144"/>
      <c r="L39" s="350">
        <v>0</v>
      </c>
      <c r="M39" s="350">
        <v>0</v>
      </c>
    </row>
    <row r="40" spans="1:13" x14ac:dyDescent="0.25">
      <c r="A40" s="134" t="str">
        <f t="shared" ca="1" si="0"/>
        <v>S</v>
      </c>
      <c r="B40" s="170" t="s">
        <v>612</v>
      </c>
      <c r="C40" s="151" t="s">
        <v>839</v>
      </c>
      <c r="D40" s="152">
        <v>30</v>
      </c>
      <c r="E40" s="153">
        <f ca="1">SUMIFS('DongTien_Working 2020'!$F:$F,'DongTien_Working 2020'!$E:$E,BC_DongTien!D40)</f>
        <v>-1895363356232</v>
      </c>
      <c r="F40" s="153">
        <v>246551</v>
      </c>
      <c r="G40" s="144"/>
      <c r="H40" s="144"/>
      <c r="I40" s="155">
        <f ca="1">E40-SUM(E33:E38)</f>
        <v>0</v>
      </c>
      <c r="J40" s="155">
        <f>F40-SUM(F33:F38)</f>
        <v>0</v>
      </c>
      <c r="K40" s="144"/>
      <c r="L40" s="350">
        <v>246551</v>
      </c>
      <c r="M40" s="350">
        <v>264925</v>
      </c>
    </row>
    <row r="41" spans="1:13" x14ac:dyDescent="0.25">
      <c r="A41" s="134" t="str">
        <f t="shared" ca="1" si="0"/>
        <v>H</v>
      </c>
      <c r="B41" s="141"/>
      <c r="C41" s="141"/>
      <c r="D41" s="142"/>
      <c r="E41" s="159"/>
      <c r="F41" s="159"/>
      <c r="G41" s="144"/>
      <c r="H41" s="144"/>
      <c r="I41" s="155"/>
      <c r="J41" s="155"/>
      <c r="K41" s="144"/>
      <c r="L41" s="350">
        <v>0</v>
      </c>
      <c r="M41" s="350">
        <v>0</v>
      </c>
    </row>
    <row r="42" spans="1:13" x14ac:dyDescent="0.25">
      <c r="A42" s="134" t="str">
        <f t="shared" ca="1" si="0"/>
        <v>H</v>
      </c>
      <c r="B42" s="170" t="s">
        <v>840</v>
      </c>
      <c r="C42" s="151" t="s">
        <v>841</v>
      </c>
      <c r="D42" s="142"/>
      <c r="E42" s="159"/>
      <c r="F42" s="159"/>
      <c r="G42" s="144"/>
      <c r="H42" s="144"/>
      <c r="I42" s="155"/>
      <c r="J42" s="155"/>
      <c r="K42" s="144"/>
      <c r="L42" s="350">
        <v>0</v>
      </c>
      <c r="M42" s="350">
        <v>0</v>
      </c>
    </row>
    <row r="43" spans="1:13" x14ac:dyDescent="0.25">
      <c r="A43" s="134" t="str">
        <f t="shared" ca="1" si="0"/>
        <v>H</v>
      </c>
      <c r="B43" s="169" t="s">
        <v>842</v>
      </c>
      <c r="C43" s="165" t="s">
        <v>843</v>
      </c>
      <c r="D43" s="142">
        <v>31</v>
      </c>
      <c r="E43" s="159">
        <f>SUMIFS('DongTien_Working 2020'!$F:$F,'DongTien_Working 2020'!$E:$E,BC_DongTien!D43)</f>
        <v>0</v>
      </c>
      <c r="F43" s="159">
        <v>0</v>
      </c>
      <c r="G43" s="144"/>
      <c r="H43" s="144"/>
      <c r="I43" s="155"/>
      <c r="J43" s="155"/>
      <c r="K43" s="144"/>
      <c r="L43" s="350">
        <v>0</v>
      </c>
      <c r="M43" s="350">
        <v>0</v>
      </c>
    </row>
    <row r="44" spans="1:13" x14ac:dyDescent="0.25">
      <c r="A44" s="134" t="str">
        <f t="shared" ca="1" si="0"/>
        <v>S</v>
      </c>
      <c r="B44" s="169" t="s">
        <v>617</v>
      </c>
      <c r="C44" s="165" t="s">
        <v>844</v>
      </c>
      <c r="D44" s="171">
        <v>33</v>
      </c>
      <c r="E44" s="159">
        <f ca="1">SUMIFS('DongTien_Working 2020'!$F:$F,'DongTien_Working 2020'!$E:$E,BC_DongTien!D44)</f>
        <v>115000000000</v>
      </c>
      <c r="F44" s="159">
        <v>0</v>
      </c>
      <c r="G44" s="144"/>
      <c r="H44" s="144"/>
      <c r="I44" s="155"/>
      <c r="J44" s="155"/>
      <c r="K44" s="144"/>
      <c r="L44" s="350">
        <v>0</v>
      </c>
      <c r="M44" s="350">
        <v>0</v>
      </c>
    </row>
    <row r="45" spans="1:13" x14ac:dyDescent="0.25">
      <c r="A45" s="134" t="str">
        <f t="shared" ca="1" si="0"/>
        <v>H</v>
      </c>
      <c r="B45" s="169" t="s">
        <v>619</v>
      </c>
      <c r="C45" s="165" t="s">
        <v>845</v>
      </c>
      <c r="D45" s="171">
        <v>34</v>
      </c>
      <c r="E45" s="159">
        <f>SUMIFS('DongTien_Working 2020'!$F:$F,'DongTien_Working 2020'!$E:$E,BC_DongTien!D45)</f>
        <v>0</v>
      </c>
      <c r="F45" s="159">
        <v>0</v>
      </c>
      <c r="G45" s="144"/>
      <c r="H45" s="144"/>
      <c r="I45" s="155"/>
      <c r="J45" s="155"/>
      <c r="K45" s="144"/>
      <c r="L45" s="350">
        <v>0</v>
      </c>
      <c r="M45" s="350">
        <v>0</v>
      </c>
    </row>
    <row r="46" spans="1:13" x14ac:dyDescent="0.25">
      <c r="A46" s="134" t="str">
        <f t="shared" ca="1" si="0"/>
        <v>H</v>
      </c>
      <c r="C46" s="165" t="s">
        <v>846</v>
      </c>
      <c r="D46" s="171">
        <v>36</v>
      </c>
      <c r="E46" s="159">
        <f>SUMIFS('DongTien_Working 2020'!$F:$F,'DongTien_Working 2020'!$E:$E,BC_DongTien!D46)</f>
        <v>0</v>
      </c>
      <c r="F46" s="159">
        <v>0</v>
      </c>
      <c r="G46" s="144"/>
      <c r="H46" s="144"/>
      <c r="I46" s="155"/>
      <c r="J46" s="155"/>
      <c r="K46" s="144"/>
      <c r="L46" s="350">
        <v>0</v>
      </c>
      <c r="M46" s="350">
        <v>0</v>
      </c>
    </row>
    <row r="47" spans="1:13" ht="15.75" thickBot="1" x14ac:dyDescent="0.3">
      <c r="A47" s="134" t="str">
        <f t="shared" ca="1" si="0"/>
        <v>H</v>
      </c>
      <c r="C47" s="165"/>
      <c r="D47" s="171"/>
      <c r="E47" s="161"/>
      <c r="F47" s="161"/>
      <c r="G47" s="144"/>
      <c r="H47" s="144"/>
      <c r="I47" s="155"/>
      <c r="J47" s="155"/>
      <c r="K47" s="144"/>
      <c r="L47" s="350">
        <v>0</v>
      </c>
      <c r="M47" s="350">
        <v>0</v>
      </c>
    </row>
    <row r="48" spans="1:13" x14ac:dyDescent="0.25">
      <c r="A48" s="134" t="str">
        <f t="shared" ca="1" si="0"/>
        <v>S</v>
      </c>
      <c r="B48" s="170" t="s">
        <v>620</v>
      </c>
      <c r="C48" s="172" t="s">
        <v>847</v>
      </c>
      <c r="D48" s="173">
        <v>40</v>
      </c>
      <c r="E48" s="153">
        <f ca="1">SUMIFS('DongTien_Working 2020'!$F:$F,'DongTien_Working 2020'!$E:$E,BC_DongTien!D48)</f>
        <v>115000000000</v>
      </c>
      <c r="F48" s="153">
        <v>0</v>
      </c>
      <c r="G48" s="154"/>
      <c r="H48" s="154"/>
      <c r="I48" s="155">
        <f ca="1">E48-SUM(E43:E46)</f>
        <v>0</v>
      </c>
      <c r="J48" s="155">
        <f>F48-SUM(F43:F46)</f>
        <v>0</v>
      </c>
      <c r="K48" s="154"/>
      <c r="L48" s="350">
        <v>0</v>
      </c>
      <c r="M48" s="350">
        <v>0</v>
      </c>
    </row>
    <row r="49" spans="1:13" x14ac:dyDescent="0.25">
      <c r="A49" s="134" t="str">
        <f t="shared" ca="1" si="0"/>
        <v>H</v>
      </c>
      <c r="B49" s="144"/>
      <c r="C49" s="144"/>
      <c r="D49" s="144"/>
      <c r="E49" s="144"/>
      <c r="F49" s="144"/>
      <c r="G49" s="144"/>
      <c r="H49" s="144"/>
      <c r="I49" s="155"/>
      <c r="J49" s="155"/>
      <c r="K49" s="144"/>
      <c r="L49" s="350">
        <v>0</v>
      </c>
      <c r="M49" s="350">
        <v>0</v>
      </c>
    </row>
    <row r="50" spans="1:13" x14ac:dyDescent="0.25">
      <c r="A50" s="134" t="str">
        <f t="shared" ca="1" si="0"/>
        <v>S</v>
      </c>
      <c r="B50" s="170" t="s">
        <v>848</v>
      </c>
      <c r="C50" s="172" t="s">
        <v>849</v>
      </c>
      <c r="D50" s="173">
        <v>50</v>
      </c>
      <c r="E50" s="153">
        <f ca="1">SUMIFS('DongTien_Working 2020'!$F:$F,'DongTien_Working 2020'!$E:$E,BC_DongTien!D50)</f>
        <v>59735885055</v>
      </c>
      <c r="F50" s="153">
        <v>-165350847</v>
      </c>
      <c r="G50" s="154"/>
      <c r="H50" s="154"/>
      <c r="I50" s="155"/>
      <c r="J50" s="155"/>
      <c r="K50" s="154"/>
      <c r="L50" s="350">
        <v>-165350847</v>
      </c>
      <c r="M50" s="350">
        <v>142951768</v>
      </c>
    </row>
    <row r="51" spans="1:13" x14ac:dyDescent="0.25">
      <c r="A51" s="134" t="str">
        <f t="shared" ca="1" si="0"/>
        <v>S</v>
      </c>
      <c r="B51" s="170" t="s">
        <v>850</v>
      </c>
      <c r="C51" s="174" t="s">
        <v>851</v>
      </c>
      <c r="D51" s="175">
        <v>60</v>
      </c>
      <c r="E51" s="153">
        <f ca="1">SUMIFS('DongTien_Working 2020'!$F:$F,'DongTien_Working 2020'!$E:$E,BC_DongTien!D51)</f>
        <v>51229551</v>
      </c>
      <c r="F51" s="153">
        <v>216580398</v>
      </c>
      <c r="G51" s="176" t="b">
        <f ca="1">E51=F53</f>
        <v>1</v>
      </c>
      <c r="H51" s="177"/>
      <c r="I51" s="155"/>
      <c r="J51" s="155"/>
      <c r="K51" s="177"/>
      <c r="L51" s="350">
        <v>216580398</v>
      </c>
      <c r="M51" s="350">
        <v>73628630</v>
      </c>
    </row>
    <row r="52" spans="1:13" x14ac:dyDescent="0.25">
      <c r="A52" s="134" t="str">
        <f t="shared" ca="1" si="0"/>
        <v>H</v>
      </c>
      <c r="B52" s="170" t="s">
        <v>852</v>
      </c>
      <c r="C52" s="174" t="s">
        <v>853</v>
      </c>
      <c r="D52" s="175">
        <v>61</v>
      </c>
      <c r="E52" s="153">
        <f>SUMIFS('DongTien_Working 2020'!$F:$F,'DongTien_Working 2020'!$E:$E,BC_DongTien!D52)</f>
        <v>0</v>
      </c>
      <c r="F52" s="153">
        <v>0</v>
      </c>
      <c r="G52" s="177"/>
      <c r="H52" s="177"/>
      <c r="I52" s="155"/>
      <c r="J52" s="155"/>
      <c r="K52" s="177"/>
      <c r="L52" s="350">
        <v>0</v>
      </c>
      <c r="M52" s="350">
        <v>-180744</v>
      </c>
    </row>
    <row r="53" spans="1:13" x14ac:dyDescent="0.25">
      <c r="A53" s="134" t="str">
        <f t="shared" ca="1" si="0"/>
        <v>S</v>
      </c>
      <c r="B53" s="170" t="s">
        <v>854</v>
      </c>
      <c r="C53" s="174" t="s">
        <v>855</v>
      </c>
      <c r="D53" s="175">
        <v>70</v>
      </c>
      <c r="E53" s="153">
        <f ca="1">SUMIFS('DongTien_Working 2020'!$F:$F,'DongTien_Working 2020'!$E:$E,BC_DongTien!D53)</f>
        <v>59787114606</v>
      </c>
      <c r="F53" s="153">
        <v>51229551</v>
      </c>
      <c r="G53" s="177"/>
      <c r="H53" s="177"/>
      <c r="I53" s="155"/>
      <c r="J53" s="155"/>
      <c r="K53" s="177"/>
      <c r="L53" s="350">
        <v>51229551</v>
      </c>
      <c r="M53" s="350">
        <v>216580398</v>
      </c>
    </row>
    <row r="54" spans="1:13" x14ac:dyDescent="0.25">
      <c r="A54" s="134" t="str">
        <f t="shared" ca="1" si="0"/>
        <v>H</v>
      </c>
      <c r="E54" s="176" t="b">
        <f ca="1">E53=BC_TinhHinh_TaiChinh!F10</f>
        <v>1</v>
      </c>
      <c r="F54" s="176" t="b">
        <f ca="1">F53=BC_TinhHinh_TaiChinh!G10</f>
        <v>1</v>
      </c>
      <c r="I54" s="155"/>
      <c r="J54" s="155"/>
      <c r="L54" s="350" t="b">
        <v>1</v>
      </c>
      <c r="M54" s="350" t="b">
        <v>1</v>
      </c>
    </row>
    <row r="55" spans="1:13" x14ac:dyDescent="0.25">
      <c r="E55" s="159"/>
      <c r="F55" s="159"/>
      <c r="I55" s="168"/>
      <c r="J55" s="168"/>
    </row>
    <row r="56" spans="1:13" x14ac:dyDescent="0.25">
      <c r="E56" s="159"/>
      <c r="F56" s="159"/>
      <c r="I56" s="168"/>
      <c r="J56" s="168"/>
    </row>
    <row r="57" spans="1:13" x14ac:dyDescent="0.25">
      <c r="E57" s="159"/>
      <c r="F57" s="159"/>
      <c r="I57" s="168"/>
      <c r="J57" s="168"/>
    </row>
    <row r="58" spans="1:13" x14ac:dyDescent="0.25">
      <c r="E58" s="159"/>
      <c r="F58" s="159"/>
      <c r="I58" s="168"/>
      <c r="J58" s="168"/>
    </row>
    <row r="59" spans="1:13" x14ac:dyDescent="0.25">
      <c r="E59" s="159"/>
      <c r="F59" s="159"/>
      <c r="I59" s="168"/>
      <c r="J59" s="168"/>
    </row>
    <row r="60" spans="1:13" x14ac:dyDescent="0.25">
      <c r="E60" s="159"/>
      <c r="F60" s="159"/>
      <c r="I60" s="168"/>
      <c r="J60" s="168"/>
    </row>
    <row r="61" spans="1:13" x14ac:dyDescent="0.25">
      <c r="E61" s="159"/>
      <c r="F61" s="159"/>
      <c r="I61" s="168"/>
      <c r="J61" s="168"/>
    </row>
    <row r="62" spans="1:13" x14ac:dyDescent="0.25">
      <c r="E62" s="159"/>
      <c r="F62" s="159"/>
      <c r="I62" s="168"/>
      <c r="J62" s="168"/>
    </row>
    <row r="63" spans="1:13" x14ac:dyDescent="0.25">
      <c r="E63" s="159"/>
      <c r="F63" s="159"/>
      <c r="I63" s="168"/>
      <c r="J63" s="168"/>
    </row>
    <row r="64" spans="1:13" x14ac:dyDescent="0.25">
      <c r="I64" s="168"/>
      <c r="J64" s="168"/>
    </row>
    <row r="65" spans="9:10" x14ac:dyDescent="0.25">
      <c r="I65" s="168"/>
      <c r="J65" s="168"/>
    </row>
    <row r="66" spans="9:10" x14ac:dyDescent="0.25">
      <c r="I66" s="168"/>
      <c r="J66" s="168"/>
    </row>
    <row r="67" spans="9:10" x14ac:dyDescent="0.25">
      <c r="I67" s="168"/>
      <c r="J67" s="168"/>
    </row>
    <row r="68" spans="9:10" x14ac:dyDescent="0.25">
      <c r="I68" s="168"/>
      <c r="J68" s="168"/>
    </row>
    <row r="69" spans="9:10" x14ac:dyDescent="0.25">
      <c r="I69" s="168"/>
      <c r="J69" s="168"/>
    </row>
    <row r="70" spans="9:10" x14ac:dyDescent="0.25">
      <c r="I70" s="168"/>
      <c r="J70" s="168"/>
    </row>
    <row r="71" spans="9:10" x14ac:dyDescent="0.25">
      <c r="I71" s="168"/>
      <c r="J71" s="168"/>
    </row>
    <row r="72" spans="9:10" x14ac:dyDescent="0.25">
      <c r="I72" s="168"/>
      <c r="J72" s="168"/>
    </row>
    <row r="73" spans="9:10" x14ac:dyDescent="0.25">
      <c r="I73" s="168"/>
      <c r="J73" s="168"/>
    </row>
    <row r="74" spans="9:10" x14ac:dyDescent="0.25">
      <c r="I74" s="168"/>
      <c r="J74" s="168"/>
    </row>
    <row r="75" spans="9:10" x14ac:dyDescent="0.25">
      <c r="I75" s="168"/>
      <c r="J75" s="168"/>
    </row>
    <row r="76" spans="9:10" x14ac:dyDescent="0.25">
      <c r="I76" s="168"/>
      <c r="J76" s="168"/>
    </row>
    <row r="77" spans="9:10" x14ac:dyDescent="0.25">
      <c r="I77" s="168"/>
      <c r="J77" s="168"/>
    </row>
    <row r="78" spans="9:10" x14ac:dyDescent="0.25">
      <c r="I78" s="168"/>
      <c r="J78" s="168"/>
    </row>
  </sheetData>
  <autoFilter ref="A4:F54"/>
  <conditionalFormatting sqref="I5:J54">
    <cfRule type="cellIs" dxfId="14" priority="1" operator="notEqual">
      <formula>0</formula>
    </cfRule>
  </conditionalFormatting>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CS67"/>
  <sheetViews>
    <sheetView showGridLines="0" zoomScaleNormal="100" workbookViewId="0">
      <pane xSplit="9" ySplit="10" topLeftCell="J11" activePane="bottomRight" state="frozen"/>
      <selection activeCell="F62" sqref="F62"/>
      <selection pane="topRight" activeCell="F62" sqref="F62"/>
      <selection pane="bottomLeft" activeCell="F62" sqref="F62"/>
      <selection pane="bottomRight" activeCell="B16" sqref="B16"/>
    </sheetView>
  </sheetViews>
  <sheetFormatPr defaultColWidth="9.140625" defaultRowHeight="12" x14ac:dyDescent="0.2"/>
  <cols>
    <col min="1" max="1" width="8" style="48" bestFit="1" customWidth="1"/>
    <col min="2" max="2" width="18.140625" style="48" bestFit="1" customWidth="1"/>
    <col min="3" max="3" width="43.5703125" style="16" hidden="1" customWidth="1"/>
    <col min="4" max="4" width="37" style="16" customWidth="1"/>
    <col min="5" max="5" width="8.140625" style="5" hidden="1" customWidth="1"/>
    <col min="6" max="6" width="19.140625" style="20" customWidth="1"/>
    <col min="7" max="7" width="15.28515625" style="20" hidden="1" customWidth="1"/>
    <col min="8" max="8" width="16.7109375" style="20" hidden="1" customWidth="1"/>
    <col min="9" max="9" width="16.140625" style="20" hidden="1" customWidth="1"/>
    <col min="10" max="10" width="16.140625" style="20" customWidth="1"/>
    <col min="11" max="11" width="21.5703125" style="20" hidden="1" customWidth="1"/>
    <col min="12" max="12" width="18.5703125" style="20" hidden="1" customWidth="1"/>
    <col min="13" max="13" width="13.7109375" style="20" hidden="1" customWidth="1"/>
    <col min="14" max="14" width="23" style="20" hidden="1" customWidth="1"/>
    <col min="15" max="15" width="16.28515625" style="20" customWidth="1"/>
    <col min="16" max="16" width="14.85546875" style="20" hidden="1" customWidth="1"/>
    <col min="17" max="17" width="13" style="20" hidden="1" customWidth="1"/>
    <col min="18" max="18" width="16.140625" style="20" hidden="1" customWidth="1"/>
    <col min="19" max="19" width="21.42578125" style="20" hidden="1" customWidth="1"/>
    <col min="20" max="20" width="14.140625" style="20" hidden="1" customWidth="1"/>
    <col min="21" max="21" width="14.28515625" style="20" hidden="1" customWidth="1"/>
    <col min="22" max="22" width="17.140625" style="20" customWidth="1"/>
    <col min="23" max="23" width="13.7109375" style="20" hidden="1" customWidth="1"/>
    <col min="24" max="24" width="14.140625" style="20" hidden="1" customWidth="1"/>
    <col min="25" max="28" width="13.7109375" style="20" hidden="1" customWidth="1"/>
    <col min="29" max="29" width="17.5703125" style="20" hidden="1" customWidth="1"/>
    <col min="30" max="30" width="17.5703125" style="20" customWidth="1"/>
    <col min="31" max="31" width="13.7109375" style="20" hidden="1" customWidth="1"/>
    <col min="32" max="32" width="16.140625" style="20" bestFit="1" customWidth="1"/>
    <col min="33" max="33" width="16" style="20" customWidth="1"/>
    <col min="34" max="35" width="13.7109375" style="20" hidden="1" customWidth="1"/>
    <col min="36" max="36" width="15" style="20" customWidth="1"/>
    <col min="37" max="37" width="13.7109375" style="20" customWidth="1"/>
    <col min="38" max="38" width="16.7109375" style="20" customWidth="1"/>
    <col min="39" max="39" width="17.5703125" style="20" customWidth="1"/>
    <col min="40" max="40" width="13.7109375" style="20" hidden="1" customWidth="1"/>
    <col min="41" max="41" width="16" style="20" customWidth="1"/>
    <col min="42" max="42" width="17.140625" style="20" hidden="1" customWidth="1"/>
    <col min="43" max="43" width="17.5703125" style="20" hidden="1" customWidth="1"/>
    <col min="44" max="44" width="14" style="20" hidden="1" customWidth="1"/>
    <col min="45" max="46" width="13.7109375" style="20" hidden="1" customWidth="1"/>
    <col min="47" max="47" width="15.42578125" style="20" hidden="1" customWidth="1"/>
    <col min="48" max="48" width="15" style="20" hidden="1" customWidth="1"/>
    <col min="49" max="49" width="13.7109375" style="20" hidden="1" customWidth="1"/>
    <col min="50" max="50" width="16.7109375" style="20" hidden="1" customWidth="1"/>
    <col min="51" max="51" width="13.7109375" style="20" hidden="1" customWidth="1"/>
    <col min="52" max="52" width="1.85546875" style="433" customWidth="1"/>
    <col min="53" max="53" width="16" style="20" customWidth="1"/>
    <col min="54" max="54" width="15" style="20" customWidth="1"/>
    <col min="55" max="55" width="16" style="20" customWidth="1"/>
    <col min="56" max="56" width="15" style="20" hidden="1" customWidth="1"/>
    <col min="57" max="57" width="16.140625" style="20" bestFit="1" customWidth="1"/>
    <col min="58" max="58" width="3.28515625" style="20" hidden="1" customWidth="1"/>
    <col min="59" max="59" width="13.7109375" style="20" hidden="1" customWidth="1"/>
    <col min="60" max="60" width="15" style="20" hidden="1" customWidth="1"/>
    <col min="61" max="61" width="20" style="20" hidden="1" customWidth="1"/>
    <col min="62" max="62" width="19.42578125" style="20" customWidth="1"/>
    <col min="63" max="63" width="13.7109375" style="20" hidden="1" customWidth="1"/>
    <col min="64" max="64" width="10.42578125" style="20" hidden="1" customWidth="1"/>
    <col min="65" max="68" width="13.7109375" style="20" hidden="1" customWidth="1"/>
    <col min="69" max="69" width="15" style="20" hidden="1" customWidth="1"/>
    <col min="70" max="71" width="13.7109375" style="20" hidden="1" customWidth="1"/>
    <col min="72" max="72" width="15" style="20" hidden="1" customWidth="1"/>
    <col min="73" max="74" width="17.5703125" style="20" customWidth="1"/>
    <col min="75" max="79" width="13.7109375" style="20" hidden="1" customWidth="1"/>
    <col min="80" max="80" width="1.85546875" style="433" customWidth="1"/>
    <col min="81" max="81" width="17.5703125" style="20" customWidth="1"/>
    <col min="82" max="82" width="13.7109375" style="20" hidden="1" customWidth="1"/>
    <col min="83" max="83" width="18.28515625" style="20" hidden="1" customWidth="1"/>
    <col min="84" max="86" width="13.7109375" style="20" hidden="1" customWidth="1"/>
    <col min="87" max="87" width="12.42578125" style="20" hidden="1" customWidth="1"/>
    <col min="88" max="88" width="13.7109375" style="20" hidden="1" customWidth="1"/>
    <col min="89" max="89" width="12.42578125" style="20" hidden="1" customWidth="1"/>
    <col min="90" max="90" width="17.5703125" style="20" customWidth="1"/>
    <col min="91" max="94" width="13.7109375" style="20" hidden="1" customWidth="1"/>
    <col min="95" max="95" width="16.28515625" style="43" bestFit="1" customWidth="1"/>
    <col min="96" max="96" width="18.140625" style="43" bestFit="1" customWidth="1"/>
    <col min="97" max="97" width="14.140625" style="43" bestFit="1" customWidth="1"/>
    <col min="98" max="16384" width="9.140625" style="48"/>
  </cols>
  <sheetData>
    <row r="1" spans="1:97" s="13" customFormat="1" ht="15" hidden="1" x14ac:dyDescent="0.25">
      <c r="C1" s="15"/>
      <c r="D1" s="16"/>
      <c r="E1" s="5"/>
      <c r="F1"/>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42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426"/>
      <c r="CC1" s="16"/>
      <c r="CD1" s="16"/>
      <c r="CE1" s="16"/>
      <c r="CF1" s="16"/>
      <c r="CG1" s="16"/>
      <c r="CH1" s="16"/>
      <c r="CI1" s="16"/>
      <c r="CJ1" s="16"/>
      <c r="CK1" s="16"/>
      <c r="CL1" s="16"/>
      <c r="CM1" s="16"/>
      <c r="CN1" s="16"/>
      <c r="CO1" s="16"/>
      <c r="CP1" s="16"/>
      <c r="CQ1" s="6"/>
      <c r="CR1" s="6"/>
      <c r="CS1" s="6"/>
    </row>
    <row r="2" spans="1:97" s="13" customFormat="1" hidden="1" x14ac:dyDescent="0.2">
      <c r="C2" s="15"/>
      <c r="D2" s="16"/>
      <c r="E2" s="5"/>
      <c r="F2" s="344">
        <v>110</v>
      </c>
      <c r="G2" s="16"/>
      <c r="H2" s="16"/>
      <c r="I2" s="16"/>
      <c r="J2" s="16">
        <v>131</v>
      </c>
      <c r="K2" s="16">
        <v>132</v>
      </c>
      <c r="L2" s="16">
        <v>133</v>
      </c>
      <c r="M2" s="16">
        <v>134</v>
      </c>
      <c r="N2" s="16">
        <v>135</v>
      </c>
      <c r="O2" s="16">
        <v>136</v>
      </c>
      <c r="P2" s="16">
        <v>137</v>
      </c>
      <c r="Q2" s="16">
        <v>139</v>
      </c>
      <c r="R2" s="16">
        <v>141</v>
      </c>
      <c r="S2" s="16">
        <v>149</v>
      </c>
      <c r="T2" s="16">
        <v>151</v>
      </c>
      <c r="U2" s="16">
        <v>152</v>
      </c>
      <c r="V2" s="16">
        <v>153</v>
      </c>
      <c r="W2" s="16">
        <v>154</v>
      </c>
      <c r="X2" s="16">
        <v>155</v>
      </c>
      <c r="Y2" s="16">
        <v>211</v>
      </c>
      <c r="Z2" s="16">
        <v>212</v>
      </c>
      <c r="AA2" s="16">
        <v>213</v>
      </c>
      <c r="AB2" s="16">
        <v>214</v>
      </c>
      <c r="AC2" s="16">
        <v>215</v>
      </c>
      <c r="AD2" s="16">
        <v>216</v>
      </c>
      <c r="AE2" s="16">
        <v>219</v>
      </c>
      <c r="AF2" s="16">
        <v>222</v>
      </c>
      <c r="AG2" s="16">
        <v>223</v>
      </c>
      <c r="AH2" s="16">
        <v>225</v>
      </c>
      <c r="AI2" s="16">
        <v>226</v>
      </c>
      <c r="AJ2" s="16">
        <v>228</v>
      </c>
      <c r="AK2" s="16">
        <v>229</v>
      </c>
      <c r="AL2" s="16">
        <v>231</v>
      </c>
      <c r="AM2" s="16">
        <v>232</v>
      </c>
      <c r="AN2" s="16">
        <v>241</v>
      </c>
      <c r="AO2" s="16">
        <v>242</v>
      </c>
      <c r="AP2" s="16">
        <v>251</v>
      </c>
      <c r="AQ2" s="16">
        <v>252</v>
      </c>
      <c r="AR2" s="16">
        <v>253</v>
      </c>
      <c r="AS2" s="16">
        <v>254</v>
      </c>
      <c r="AT2" s="16">
        <v>255</v>
      </c>
      <c r="AU2" s="16">
        <v>261</v>
      </c>
      <c r="AV2" s="16">
        <v>262</v>
      </c>
      <c r="AW2" s="16">
        <v>263</v>
      </c>
      <c r="AX2" s="16">
        <v>268</v>
      </c>
      <c r="AY2" s="16">
        <v>269</v>
      </c>
      <c r="AZ2" s="426"/>
      <c r="BA2" s="16">
        <v>311</v>
      </c>
      <c r="BB2" s="16">
        <v>312</v>
      </c>
      <c r="BC2" s="16">
        <v>313</v>
      </c>
      <c r="BD2" s="16"/>
      <c r="BE2" s="16">
        <v>315</v>
      </c>
      <c r="BF2" s="16"/>
      <c r="BG2" s="16"/>
      <c r="BH2" s="16">
        <v>318</v>
      </c>
      <c r="BI2" s="16">
        <v>319</v>
      </c>
      <c r="BJ2" s="16">
        <v>320</v>
      </c>
      <c r="BK2" s="16"/>
      <c r="BL2" s="16"/>
      <c r="BM2" s="16"/>
      <c r="BN2" s="16"/>
      <c r="BO2" s="16"/>
      <c r="BP2" s="16"/>
      <c r="BQ2" s="16"/>
      <c r="BR2" s="16"/>
      <c r="BS2" s="16"/>
      <c r="BT2" s="16">
        <v>336</v>
      </c>
      <c r="BU2" s="16">
        <v>337</v>
      </c>
      <c r="BV2" s="16">
        <v>338</v>
      </c>
      <c r="BW2" s="16"/>
      <c r="BX2" s="16"/>
      <c r="BY2" s="16"/>
      <c r="BZ2" s="16"/>
      <c r="CA2" s="16"/>
      <c r="CB2" s="426"/>
      <c r="CC2" s="16">
        <v>411</v>
      </c>
      <c r="CD2" s="16"/>
      <c r="CE2" s="16">
        <v>414</v>
      </c>
      <c r="CF2" s="16"/>
      <c r="CG2" s="16"/>
      <c r="CH2" s="16"/>
      <c r="CI2" s="16"/>
      <c r="CJ2" s="16"/>
      <c r="CK2" s="16"/>
      <c r="CL2" s="16">
        <v>421</v>
      </c>
      <c r="CM2" s="16"/>
      <c r="CN2" s="16"/>
      <c r="CO2" s="16"/>
      <c r="CP2" s="16"/>
      <c r="CQ2" s="6"/>
      <c r="CR2" s="6"/>
      <c r="CS2" s="6"/>
    </row>
    <row r="3" spans="1:97" s="13" customFormat="1" ht="36.75" thickBot="1" x14ac:dyDescent="0.25">
      <c r="C3" s="15" t="s">
        <v>588</v>
      </c>
      <c r="D3" s="439" t="str">
        <f>BC_DongTien!C2</f>
        <v>Báo cáo lưu chuyển tiền tệ cho năm kết thúc ngày 31 tháng 12 năm 2020 (Phương pháp gián tiếp)</v>
      </c>
      <c r="E3" s="5"/>
      <c r="F3" s="44" t="str">
        <f ca="1">F67</f>
        <v>Balanced</v>
      </c>
      <c r="G3" s="49">
        <f>G67</f>
        <v>0</v>
      </c>
      <c r="H3" s="49">
        <f t="shared" ref="H3:BT3" si="0">H67</f>
        <v>0</v>
      </c>
      <c r="I3" s="49">
        <f t="shared" si="0"/>
        <v>0</v>
      </c>
      <c r="J3" s="49">
        <f t="shared" ca="1" si="0"/>
        <v>0</v>
      </c>
      <c r="K3" s="49">
        <v>0</v>
      </c>
      <c r="L3" s="49">
        <f t="shared" si="0"/>
        <v>0</v>
      </c>
      <c r="M3" s="49">
        <f t="shared" si="0"/>
        <v>0</v>
      </c>
      <c r="N3" s="49">
        <f t="shared" si="0"/>
        <v>0</v>
      </c>
      <c r="O3" s="49">
        <f t="shared" ca="1" si="0"/>
        <v>0</v>
      </c>
      <c r="P3" s="49">
        <f t="shared" ca="1" si="0"/>
        <v>0</v>
      </c>
      <c r="Q3" s="49">
        <f t="shared" ca="1" si="0"/>
        <v>0</v>
      </c>
      <c r="R3" s="49">
        <f t="shared" ca="1" si="0"/>
        <v>0</v>
      </c>
      <c r="S3" s="49">
        <f t="shared" ca="1" si="0"/>
        <v>0</v>
      </c>
      <c r="T3" s="49">
        <f t="shared" ca="1" si="0"/>
        <v>0</v>
      </c>
      <c r="U3" s="49">
        <f t="shared" ca="1" si="0"/>
        <v>0</v>
      </c>
      <c r="V3" s="49">
        <f t="shared" ca="1" si="0"/>
        <v>0</v>
      </c>
      <c r="W3" s="49">
        <f t="shared" ca="1" si="0"/>
        <v>0</v>
      </c>
      <c r="X3" s="49">
        <f t="shared" ca="1" si="0"/>
        <v>0</v>
      </c>
      <c r="Y3" s="49">
        <f t="shared" ca="1" si="0"/>
        <v>0</v>
      </c>
      <c r="Z3" s="49">
        <f t="shared" ca="1" si="0"/>
        <v>0</v>
      </c>
      <c r="AA3" s="49">
        <f t="shared" ca="1" si="0"/>
        <v>0</v>
      </c>
      <c r="AB3" s="49">
        <f t="shared" ca="1" si="0"/>
        <v>0</v>
      </c>
      <c r="AC3" s="49">
        <f t="shared" ca="1" si="0"/>
        <v>0</v>
      </c>
      <c r="AD3" s="49">
        <f t="shared" ca="1" si="0"/>
        <v>0</v>
      </c>
      <c r="AE3" s="49">
        <f t="shared" ca="1" si="0"/>
        <v>0</v>
      </c>
      <c r="AF3" s="49">
        <f t="shared" ca="1" si="0"/>
        <v>0</v>
      </c>
      <c r="AG3" s="49">
        <f t="shared" ca="1" si="0"/>
        <v>0</v>
      </c>
      <c r="AH3" s="49">
        <f t="shared" ca="1" si="0"/>
        <v>0</v>
      </c>
      <c r="AI3" s="49">
        <f t="shared" ca="1" si="0"/>
        <v>0</v>
      </c>
      <c r="AJ3" s="49">
        <f t="shared" ca="1" si="0"/>
        <v>0</v>
      </c>
      <c r="AK3" s="49">
        <f t="shared" ca="1" si="0"/>
        <v>0</v>
      </c>
      <c r="AL3" s="49">
        <f ca="1">AL67</f>
        <v>0</v>
      </c>
      <c r="AM3" s="49">
        <f t="shared" ca="1" si="0"/>
        <v>0</v>
      </c>
      <c r="AN3" s="49">
        <f t="shared" ca="1" si="0"/>
        <v>0</v>
      </c>
      <c r="AO3" s="49">
        <f t="shared" ca="1" si="0"/>
        <v>0</v>
      </c>
      <c r="AP3" s="49">
        <f t="shared" ca="1" si="0"/>
        <v>0</v>
      </c>
      <c r="AQ3" s="49">
        <f t="shared" ca="1" si="0"/>
        <v>0</v>
      </c>
      <c r="AR3" s="49">
        <f t="shared" ca="1" si="0"/>
        <v>0</v>
      </c>
      <c r="AS3" s="49">
        <f t="shared" ca="1" si="0"/>
        <v>0</v>
      </c>
      <c r="AT3" s="49">
        <f t="shared" ca="1" si="0"/>
        <v>0</v>
      </c>
      <c r="AU3" s="49">
        <f t="shared" ca="1" si="0"/>
        <v>0</v>
      </c>
      <c r="AV3" s="49">
        <f t="shared" ca="1" si="0"/>
        <v>0</v>
      </c>
      <c r="AW3" s="49">
        <f t="shared" ca="1" si="0"/>
        <v>0</v>
      </c>
      <c r="AX3" s="49">
        <f t="shared" ca="1" si="0"/>
        <v>0</v>
      </c>
      <c r="AY3" s="49">
        <f t="shared" ca="1" si="0"/>
        <v>0</v>
      </c>
      <c r="AZ3" s="427"/>
      <c r="BA3" s="49">
        <f t="shared" ca="1" si="0"/>
        <v>0</v>
      </c>
      <c r="BB3" s="49">
        <f t="shared" ca="1" si="0"/>
        <v>0</v>
      </c>
      <c r="BC3" s="49">
        <f t="shared" ca="1" si="0"/>
        <v>0</v>
      </c>
      <c r="BD3" s="49">
        <f t="shared" si="0"/>
        <v>0</v>
      </c>
      <c r="BE3" s="49">
        <f t="shared" ca="1" si="0"/>
        <v>0</v>
      </c>
      <c r="BF3" s="49">
        <f t="shared" si="0"/>
        <v>0</v>
      </c>
      <c r="BG3" s="49">
        <f t="shared" si="0"/>
        <v>0</v>
      </c>
      <c r="BH3" s="49">
        <f t="shared" ca="1" si="0"/>
        <v>0</v>
      </c>
      <c r="BI3" s="49">
        <f t="shared" ca="1" si="0"/>
        <v>0</v>
      </c>
      <c r="BJ3" s="49">
        <f t="shared" ca="1" si="0"/>
        <v>0</v>
      </c>
      <c r="BK3" s="49">
        <f t="shared" si="0"/>
        <v>0</v>
      </c>
      <c r="BL3" s="49">
        <f t="shared" si="0"/>
        <v>0</v>
      </c>
      <c r="BM3" s="49">
        <f t="shared" si="0"/>
        <v>0</v>
      </c>
      <c r="BN3" s="49">
        <f t="shared" si="0"/>
        <v>0</v>
      </c>
      <c r="BO3" s="49">
        <f t="shared" si="0"/>
        <v>0</v>
      </c>
      <c r="BP3" s="49">
        <f t="shared" si="0"/>
        <v>0</v>
      </c>
      <c r="BQ3" s="49">
        <f t="shared" si="0"/>
        <v>0</v>
      </c>
      <c r="BR3" s="49">
        <f t="shared" si="0"/>
        <v>0</v>
      </c>
      <c r="BS3" s="49">
        <f t="shared" si="0"/>
        <v>0</v>
      </c>
      <c r="BT3" s="49">
        <f t="shared" ca="1" si="0"/>
        <v>0</v>
      </c>
      <c r="BU3" s="49">
        <f t="shared" ref="BU3:CP3" ca="1" si="1">BU67</f>
        <v>0</v>
      </c>
      <c r="BV3" s="49">
        <f t="shared" ca="1" si="1"/>
        <v>0</v>
      </c>
      <c r="BW3" s="49">
        <f t="shared" si="1"/>
        <v>0</v>
      </c>
      <c r="BX3" s="49">
        <f t="shared" si="1"/>
        <v>0</v>
      </c>
      <c r="BY3" s="49">
        <f t="shared" si="1"/>
        <v>0</v>
      </c>
      <c r="BZ3" s="49">
        <f t="shared" si="1"/>
        <v>0</v>
      </c>
      <c r="CA3" s="49">
        <f t="shared" si="1"/>
        <v>0</v>
      </c>
      <c r="CB3" s="427"/>
      <c r="CC3" s="49">
        <f t="shared" ca="1" si="1"/>
        <v>0</v>
      </c>
      <c r="CD3" s="49">
        <f t="shared" si="1"/>
        <v>0</v>
      </c>
      <c r="CE3" s="49">
        <f t="shared" ca="1" si="1"/>
        <v>0</v>
      </c>
      <c r="CF3" s="49">
        <f t="shared" si="1"/>
        <v>0</v>
      </c>
      <c r="CG3" s="49">
        <f t="shared" si="1"/>
        <v>0</v>
      </c>
      <c r="CH3" s="49">
        <f t="shared" si="1"/>
        <v>0</v>
      </c>
      <c r="CI3" s="49">
        <f t="shared" si="1"/>
        <v>0</v>
      </c>
      <c r="CJ3" s="49">
        <f t="shared" si="1"/>
        <v>0</v>
      </c>
      <c r="CK3" s="49">
        <f t="shared" si="1"/>
        <v>0</v>
      </c>
      <c r="CL3" s="49">
        <f t="shared" ca="1" si="1"/>
        <v>0</v>
      </c>
      <c r="CM3" s="49">
        <f t="shared" si="1"/>
        <v>0</v>
      </c>
      <c r="CN3" s="49">
        <f t="shared" si="1"/>
        <v>0</v>
      </c>
      <c r="CO3" s="49">
        <f t="shared" si="1"/>
        <v>0</v>
      </c>
      <c r="CP3" s="49">
        <f t="shared" si="1"/>
        <v>0</v>
      </c>
      <c r="CQ3" s="41"/>
      <c r="CR3" s="41"/>
      <c r="CS3" s="6"/>
    </row>
    <row r="4" spans="1:97" s="12" customFormat="1" ht="32.25" hidden="1" customHeight="1" x14ac:dyDescent="0.2">
      <c r="C4" s="15"/>
      <c r="D4" s="14"/>
      <c r="E4" s="1"/>
      <c r="F4" s="34" t="s">
        <v>6</v>
      </c>
      <c r="G4" s="35" t="s">
        <v>8</v>
      </c>
      <c r="H4" s="35" t="s">
        <v>9</v>
      </c>
      <c r="I4" s="35" t="s">
        <v>10</v>
      </c>
      <c r="J4" s="35" t="s">
        <v>12</v>
      </c>
      <c r="K4" s="35" t="s">
        <v>13</v>
      </c>
      <c r="L4" s="35" t="s">
        <v>14</v>
      </c>
      <c r="M4" s="35" t="s">
        <v>15</v>
      </c>
      <c r="N4" s="35" t="s">
        <v>16</v>
      </c>
      <c r="O4" s="35" t="s">
        <v>17</v>
      </c>
      <c r="P4" s="35" t="s">
        <v>18</v>
      </c>
      <c r="Q4" s="35" t="s">
        <v>19</v>
      </c>
      <c r="R4" s="35" t="s">
        <v>20</v>
      </c>
      <c r="S4" s="35" t="s">
        <v>21</v>
      </c>
      <c r="T4" s="35" t="s">
        <v>23</v>
      </c>
      <c r="U4" s="35" t="s">
        <v>24</v>
      </c>
      <c r="V4" s="35" t="s">
        <v>25</v>
      </c>
      <c r="W4" s="35" t="s">
        <v>26</v>
      </c>
      <c r="X4" s="35" t="s">
        <v>22</v>
      </c>
      <c r="Y4" s="35" t="s">
        <v>29</v>
      </c>
      <c r="Z4" s="35" t="s">
        <v>30</v>
      </c>
      <c r="AA4" s="35" t="s">
        <v>31</v>
      </c>
      <c r="AB4" s="35" t="s">
        <v>32</v>
      </c>
      <c r="AC4" s="35" t="s">
        <v>33</v>
      </c>
      <c r="AD4" s="35" t="s">
        <v>34</v>
      </c>
      <c r="AE4" s="35" t="s">
        <v>35</v>
      </c>
      <c r="AF4" s="35" t="s">
        <v>676</v>
      </c>
      <c r="AG4" s="35" t="s">
        <v>678</v>
      </c>
      <c r="AH4" s="35" t="s">
        <v>680</v>
      </c>
      <c r="AI4" s="35" t="s">
        <v>681</v>
      </c>
      <c r="AJ4" s="35" t="s">
        <v>684</v>
      </c>
      <c r="AK4" s="35" t="s">
        <v>685</v>
      </c>
      <c r="AL4" s="35" t="s">
        <v>688</v>
      </c>
      <c r="AM4" s="35" t="s">
        <v>689</v>
      </c>
      <c r="AN4" s="35" t="s">
        <v>44</v>
      </c>
      <c r="AO4" s="35" t="s">
        <v>45</v>
      </c>
      <c r="AP4" s="35" t="s">
        <v>47</v>
      </c>
      <c r="AQ4" s="35" t="s">
        <v>48</v>
      </c>
      <c r="AR4" s="35" t="s">
        <v>49</v>
      </c>
      <c r="AS4" s="35" t="s">
        <v>50</v>
      </c>
      <c r="AT4" s="35" t="s">
        <v>10</v>
      </c>
      <c r="AU4" s="35" t="s">
        <v>52</v>
      </c>
      <c r="AV4" s="35" t="s">
        <v>53</v>
      </c>
      <c r="AW4" s="35" t="s">
        <v>54</v>
      </c>
      <c r="AX4" s="35" t="s">
        <v>51</v>
      </c>
      <c r="AY4" s="35" t="s">
        <v>55</v>
      </c>
      <c r="AZ4" s="428"/>
      <c r="BA4" s="35" t="s">
        <v>60</v>
      </c>
      <c r="BB4" s="35" t="s">
        <v>61</v>
      </c>
      <c r="BC4" s="35" t="s">
        <v>62</v>
      </c>
      <c r="BD4" s="35" t="s">
        <v>63</v>
      </c>
      <c r="BE4" s="35" t="s">
        <v>64</v>
      </c>
      <c r="BF4" s="35" t="s">
        <v>65</v>
      </c>
      <c r="BG4" s="35" t="s">
        <v>66</v>
      </c>
      <c r="BH4" s="35" t="s">
        <v>67</v>
      </c>
      <c r="BI4" s="35" t="s">
        <v>68</v>
      </c>
      <c r="BJ4" s="35" t="s">
        <v>69</v>
      </c>
      <c r="BK4" s="35" t="s">
        <v>70</v>
      </c>
      <c r="BL4" s="35" t="s">
        <v>71</v>
      </c>
      <c r="BM4" s="35" t="s">
        <v>72</v>
      </c>
      <c r="BN4" s="35" t="s">
        <v>73</v>
      </c>
      <c r="BO4" s="35" t="s">
        <v>75</v>
      </c>
      <c r="BP4" s="35" t="s">
        <v>76</v>
      </c>
      <c r="BQ4" s="35" t="s">
        <v>77</v>
      </c>
      <c r="BR4" s="35" t="s">
        <v>78</v>
      </c>
      <c r="BS4" s="35" t="s">
        <v>79</v>
      </c>
      <c r="BT4" s="35" t="s">
        <v>80</v>
      </c>
      <c r="BU4" s="35" t="s">
        <v>81</v>
      </c>
      <c r="BV4" s="35" t="s">
        <v>82</v>
      </c>
      <c r="BW4" s="35" t="s">
        <v>83</v>
      </c>
      <c r="BX4" s="35" t="s">
        <v>84</v>
      </c>
      <c r="BY4" s="35" t="s">
        <v>85</v>
      </c>
      <c r="BZ4" s="35" t="s">
        <v>86</v>
      </c>
      <c r="CA4" s="35" t="s">
        <v>87</v>
      </c>
      <c r="CB4" s="428"/>
      <c r="CC4" s="35" t="s">
        <v>90</v>
      </c>
      <c r="CD4" s="35" t="s">
        <v>95</v>
      </c>
      <c r="CE4" s="35" t="s">
        <v>96</v>
      </c>
      <c r="CF4" s="35" t="s">
        <v>97</v>
      </c>
      <c r="CG4" s="35" t="s">
        <v>98</v>
      </c>
      <c r="CH4" s="35" t="s">
        <v>99</v>
      </c>
      <c r="CI4" s="35" t="s">
        <v>100</v>
      </c>
      <c r="CJ4" s="35" t="s">
        <v>101</v>
      </c>
      <c r="CK4" s="35" t="s">
        <v>102</v>
      </c>
      <c r="CL4" s="35" t="s">
        <v>103</v>
      </c>
      <c r="CM4" s="35" t="s">
        <v>107</v>
      </c>
      <c r="CN4" s="35" t="s">
        <v>108</v>
      </c>
      <c r="CO4" s="35" t="s">
        <v>110</v>
      </c>
      <c r="CP4" s="35" t="s">
        <v>111</v>
      </c>
      <c r="CQ4" s="434"/>
      <c r="CR4" s="59"/>
      <c r="CS4" s="4"/>
    </row>
    <row r="5" spans="1:97" s="12" customFormat="1" ht="34.5" customHeight="1" x14ac:dyDescent="0.2">
      <c r="A5" s="12" t="s">
        <v>1121</v>
      </c>
      <c r="B5" s="12" t="s">
        <v>1121</v>
      </c>
      <c r="C5" s="15"/>
      <c r="D5" s="14"/>
      <c r="E5" s="1"/>
      <c r="F5" s="32" t="s">
        <v>120</v>
      </c>
      <c r="G5" s="33" t="s">
        <v>124</v>
      </c>
      <c r="H5" s="33" t="s">
        <v>125</v>
      </c>
      <c r="I5" s="33" t="s">
        <v>126</v>
      </c>
      <c r="J5" s="33" t="str">
        <f>BC_TinhHinh_TaiChinh!C20</f>
        <v>Phải thu ngắn hạn của khách hàng</v>
      </c>
      <c r="K5" s="33" t="s">
        <v>129</v>
      </c>
      <c r="L5" s="33" t="s">
        <v>130</v>
      </c>
      <c r="M5" s="33" t="s">
        <v>131</v>
      </c>
      <c r="N5" s="33" t="s">
        <v>132</v>
      </c>
      <c r="O5" s="33" t="str">
        <f>BC_TinhHinh_TaiChinh!C25</f>
        <v>Phải thu ngắn hạn khác</v>
      </c>
      <c r="P5" s="33" t="s">
        <v>134</v>
      </c>
      <c r="Q5" s="33" t="s">
        <v>135</v>
      </c>
      <c r="R5" s="33" t="s">
        <v>136</v>
      </c>
      <c r="S5" s="33" t="s">
        <v>137</v>
      </c>
      <c r="T5" s="33" t="s">
        <v>139</v>
      </c>
      <c r="U5" s="33" t="s">
        <v>140</v>
      </c>
      <c r="V5" s="33" t="s">
        <v>141</v>
      </c>
      <c r="W5" s="33" t="s">
        <v>142</v>
      </c>
      <c r="X5" s="33" t="s">
        <v>138</v>
      </c>
      <c r="Y5" s="33" t="s">
        <v>146</v>
      </c>
      <c r="Z5" s="33" t="s">
        <v>147</v>
      </c>
      <c r="AA5" s="33" t="s">
        <v>148</v>
      </c>
      <c r="AB5" s="33" t="s">
        <v>149</v>
      </c>
      <c r="AC5" s="33" t="s">
        <v>150</v>
      </c>
      <c r="AD5" s="33" t="s">
        <v>151</v>
      </c>
      <c r="AE5" s="33" t="s">
        <v>152</v>
      </c>
      <c r="AF5" s="33" t="s">
        <v>677</v>
      </c>
      <c r="AG5" s="33" t="s">
        <v>679</v>
      </c>
      <c r="AH5" s="33" t="s">
        <v>682</v>
      </c>
      <c r="AI5" s="33" t="s">
        <v>683</v>
      </c>
      <c r="AJ5" s="33" t="s">
        <v>686</v>
      </c>
      <c r="AK5" s="33" t="s">
        <v>687</v>
      </c>
      <c r="AL5" s="33" t="s">
        <v>690</v>
      </c>
      <c r="AM5" s="33" t="s">
        <v>691</v>
      </c>
      <c r="AN5" s="33" t="s">
        <v>191</v>
      </c>
      <c r="AO5" s="33" t="s">
        <v>162</v>
      </c>
      <c r="AP5" s="33" t="s">
        <v>164</v>
      </c>
      <c r="AQ5" s="33" t="s">
        <v>165</v>
      </c>
      <c r="AR5" s="33" t="s">
        <v>166</v>
      </c>
      <c r="AS5" s="33" t="s">
        <v>167</v>
      </c>
      <c r="AT5" s="33" t="s">
        <v>126</v>
      </c>
      <c r="AU5" s="33" t="s">
        <v>169</v>
      </c>
      <c r="AV5" s="33" t="s">
        <v>170</v>
      </c>
      <c r="AW5" s="33" t="s">
        <v>171</v>
      </c>
      <c r="AX5" s="33" t="s">
        <v>168</v>
      </c>
      <c r="AY5" s="33" t="s">
        <v>172</v>
      </c>
      <c r="AZ5" s="429"/>
      <c r="BA5" s="33" t="s">
        <v>178</v>
      </c>
      <c r="BB5" s="33" t="s">
        <v>179</v>
      </c>
      <c r="BC5" s="33" t="s">
        <v>180</v>
      </c>
      <c r="BD5" s="33" t="s">
        <v>181</v>
      </c>
      <c r="BE5" s="33" t="s">
        <v>182</v>
      </c>
      <c r="BF5" s="33" t="s">
        <v>183</v>
      </c>
      <c r="BG5" s="33" t="s">
        <v>184</v>
      </c>
      <c r="BH5" s="33" t="s">
        <v>185</v>
      </c>
      <c r="BI5" s="33" t="s">
        <v>186</v>
      </c>
      <c r="BJ5" s="33" t="s">
        <v>187</v>
      </c>
      <c r="BK5" s="33" t="s">
        <v>188</v>
      </c>
      <c r="BL5" s="33" t="s">
        <v>189</v>
      </c>
      <c r="BM5" s="33" t="s">
        <v>190</v>
      </c>
      <c r="BN5" s="33" t="s">
        <v>142</v>
      </c>
      <c r="BO5" s="33" t="s">
        <v>193</v>
      </c>
      <c r="BP5" s="33" t="s">
        <v>194</v>
      </c>
      <c r="BQ5" s="33" t="s">
        <v>195</v>
      </c>
      <c r="BR5" s="33" t="s">
        <v>196</v>
      </c>
      <c r="BS5" s="33" t="s">
        <v>197</v>
      </c>
      <c r="BT5" s="33" t="s">
        <v>198</v>
      </c>
      <c r="BU5" s="33" t="s">
        <v>199</v>
      </c>
      <c r="BV5" s="33" t="s">
        <v>200</v>
      </c>
      <c r="BW5" s="33" t="s">
        <v>201</v>
      </c>
      <c r="BX5" s="33" t="s">
        <v>202</v>
      </c>
      <c r="BY5" s="33" t="s">
        <v>203</v>
      </c>
      <c r="BZ5" s="33" t="s">
        <v>204</v>
      </c>
      <c r="CA5" s="33" t="s">
        <v>205</v>
      </c>
      <c r="CB5" s="429"/>
      <c r="CC5" s="33" t="s">
        <v>206</v>
      </c>
      <c r="CD5" s="33" t="s">
        <v>216</v>
      </c>
      <c r="CE5" s="33" t="s">
        <v>217</v>
      </c>
      <c r="CF5" s="33" t="s">
        <v>218</v>
      </c>
      <c r="CG5" s="33" t="s">
        <v>219</v>
      </c>
      <c r="CH5" s="33" t="s">
        <v>220</v>
      </c>
      <c r="CI5" s="33" t="s">
        <v>221</v>
      </c>
      <c r="CJ5" s="33" t="s">
        <v>222</v>
      </c>
      <c r="CK5" s="33" t="s">
        <v>223</v>
      </c>
      <c r="CL5" s="33" t="s">
        <v>224</v>
      </c>
      <c r="CM5" s="33" t="s">
        <v>227</v>
      </c>
      <c r="CN5" s="33" t="s">
        <v>228</v>
      </c>
      <c r="CO5" s="33" t="s">
        <v>230</v>
      </c>
      <c r="CP5" s="33" t="s">
        <v>231</v>
      </c>
      <c r="CQ5" s="434"/>
      <c r="CR5" s="59"/>
      <c r="CS5" s="4"/>
    </row>
    <row r="6" spans="1:97" s="50" customFormat="1" x14ac:dyDescent="0.2">
      <c r="B6" s="50">
        <f ca="1">SUM(F6:CL6)</f>
        <v>0</v>
      </c>
      <c r="C6" s="19" t="s">
        <v>3</v>
      </c>
      <c r="D6" s="19" t="s">
        <v>674</v>
      </c>
      <c r="E6" s="425"/>
      <c r="F6" s="26">
        <f ca="1">SUMIFS(BC_TinhHinh_TaiChinh!$G:$G,BC_TinhHinh_TaiChinh!$D:$D,'DongTien_Working 2020'!F$2)</f>
        <v>51229551</v>
      </c>
      <c r="G6" s="26">
        <f>SUMIFS(BC_TinhHinh_TaiChinh!$G:$G,BC_TinhHinh_TaiChinh!$D:$D,'DongTien_Working 2020'!G$2)</f>
        <v>0</v>
      </c>
      <c r="H6" s="26">
        <f>SUMIFS(BC_TinhHinh_TaiChinh!$G:$G,BC_TinhHinh_TaiChinh!$D:$D,'DongTien_Working 2020'!H$2)</f>
        <v>0</v>
      </c>
      <c r="I6" s="26">
        <f>SUMIFS(BC_TinhHinh_TaiChinh!$G:$G,BC_TinhHinh_TaiChinh!$D:$D,'DongTien_Working 2020'!I$2)</f>
        <v>0</v>
      </c>
      <c r="J6" s="26">
        <f ca="1">SUMIFS(BC_TinhHinh_TaiChinh!$G:$G,BC_TinhHinh_TaiChinh!$D:$D,'DongTien_Working 2020'!J$2)</f>
        <v>9300000000</v>
      </c>
      <c r="K6" s="26">
        <f ca="1">SUMIFS(BC_TinhHinh_TaiChinh!$G:$G,BC_TinhHinh_TaiChinh!$D:$D,'DongTien_Working 2020'!K$2)</f>
        <v>0</v>
      </c>
      <c r="L6" s="26">
        <f ca="1">SUMIFS(BC_TinhHinh_TaiChinh!$G:$G,BC_TinhHinh_TaiChinh!$D:$D,'DongTien_Working 2020'!L$2)</f>
        <v>0</v>
      </c>
      <c r="M6" s="26">
        <f ca="1">SUMIFS(BC_TinhHinh_TaiChinh!$G:$G,BC_TinhHinh_TaiChinh!$D:$D,'DongTien_Working 2020'!M$2)</f>
        <v>0</v>
      </c>
      <c r="N6" s="26">
        <f ca="1">SUMIFS(BC_TinhHinh_TaiChinh!$G:$G,BC_TinhHinh_TaiChinh!$D:$D,'DongTien_Working 2020'!N$2)</f>
        <v>0</v>
      </c>
      <c r="O6" s="26">
        <f ca="1">SUMIFS(BC_TinhHinh_TaiChinh!$G:$G,BC_TinhHinh_TaiChinh!$D:$D,'DongTien_Working 2020'!O$2)</f>
        <v>400000000</v>
      </c>
      <c r="P6" s="26">
        <f ca="1">SUMIFS(BC_TinhHinh_TaiChinh!$G:$G,BC_TinhHinh_TaiChinh!$D:$D,'DongTien_Working 2020'!P$2)</f>
        <v>0</v>
      </c>
      <c r="Q6" s="26">
        <f ca="1">SUMIFS(BC_TinhHinh_TaiChinh!$G:$G,BC_TinhHinh_TaiChinh!$D:$D,'DongTien_Working 2020'!Q$2)</f>
        <v>0</v>
      </c>
      <c r="R6" s="26">
        <f ca="1">SUMIFS(BC_TinhHinh_TaiChinh!$G:$G,BC_TinhHinh_TaiChinh!$D:$D,'DongTien_Working 2020'!R$2)</f>
        <v>0</v>
      </c>
      <c r="S6" s="26">
        <f ca="1">SUMIFS(BC_TinhHinh_TaiChinh!$G:$G,BC_TinhHinh_TaiChinh!$D:$D,'DongTien_Working 2020'!S$2)</f>
        <v>0</v>
      </c>
      <c r="T6" s="26">
        <f ca="1">SUMIFS(BC_TinhHinh_TaiChinh!$G:$G,BC_TinhHinh_TaiChinh!$D:$D,'DongTien_Working 2020'!T$2)</f>
        <v>0</v>
      </c>
      <c r="U6" s="26">
        <f ca="1">SUMIFS(BC_TinhHinh_TaiChinh!$G:$G,BC_TinhHinh_TaiChinh!$D:$D,'DongTien_Working 2020'!U$2)</f>
        <v>0</v>
      </c>
      <c r="V6" s="26">
        <f ca="1">SUMIFS(BC_TinhHinh_TaiChinh!$G:$G,BC_TinhHinh_TaiChinh!$D:$D,'DongTien_Working 2020'!V$2)</f>
        <v>0</v>
      </c>
      <c r="W6" s="26">
        <f ca="1">SUMIFS(BC_TinhHinh_TaiChinh!$G:$G,BC_TinhHinh_TaiChinh!$D:$D,'DongTien_Working 2020'!W$2)</f>
        <v>0</v>
      </c>
      <c r="X6" s="26">
        <f ca="1">SUMIFS(BC_TinhHinh_TaiChinh!$G:$G,BC_TinhHinh_TaiChinh!$D:$D,'DongTien_Working 2020'!X$2)</f>
        <v>0</v>
      </c>
      <c r="Y6" s="26">
        <f ca="1">SUMIFS(BC_TinhHinh_TaiChinh!$G:$G,BC_TinhHinh_TaiChinh!$D:$D,'DongTien_Working 2020'!Y$2)</f>
        <v>0</v>
      </c>
      <c r="Z6" s="26">
        <f ca="1">SUMIFS(BC_TinhHinh_TaiChinh!$G:$G,BC_TinhHinh_TaiChinh!$D:$D,'DongTien_Working 2020'!Z$2)</f>
        <v>0</v>
      </c>
      <c r="AA6" s="26">
        <f ca="1">SUMIFS(BC_TinhHinh_TaiChinh!$G:$G,BC_TinhHinh_TaiChinh!$D:$D,'DongTien_Working 2020'!AA$2)</f>
        <v>0</v>
      </c>
      <c r="AB6" s="26">
        <f ca="1">SUMIFS(BC_TinhHinh_TaiChinh!$G:$G,BC_TinhHinh_TaiChinh!$D:$D,'DongTien_Working 2020'!AB$2)</f>
        <v>0</v>
      </c>
      <c r="AC6" s="26">
        <f ca="1">SUMIFS(BC_TinhHinh_TaiChinh!$G:$G,BC_TinhHinh_TaiChinh!$D:$D,'DongTien_Working 2020'!AC$2)</f>
        <v>0</v>
      </c>
      <c r="AD6" s="26">
        <f ca="1">SUMIFS(BC_TinhHinh_TaiChinh!$G:$G,BC_TinhHinh_TaiChinh!$D:$D,'DongTien_Working 2020'!AD$2)</f>
        <v>0</v>
      </c>
      <c r="AE6" s="26">
        <f ca="1">SUMIFS(BC_TinhHinh_TaiChinh!$G:$G,BC_TinhHinh_TaiChinh!$D:$D,'DongTien_Working 2020'!AE$2)</f>
        <v>0</v>
      </c>
      <c r="AF6" s="26">
        <f ca="1">SUMIFS(BC_TinhHinh_TaiChinh!$G:$G,BC_TinhHinh_TaiChinh!$D:$D,'DongTien_Working 2020'!AF$2)</f>
        <v>205464255</v>
      </c>
      <c r="AG6" s="26">
        <f ca="1">SUMIFS(BC_TinhHinh_TaiChinh!$G:$G,BC_TinhHinh_TaiChinh!$D:$D,'DongTien_Working 2020'!AG$2)</f>
        <v>-205464255</v>
      </c>
      <c r="AH6" s="26">
        <f ca="1">SUMIFS(BC_TinhHinh_TaiChinh!$G:$G,BC_TinhHinh_TaiChinh!$D:$D,'DongTien_Working 2020'!AH$2)</f>
        <v>0</v>
      </c>
      <c r="AI6" s="26">
        <f ca="1">SUMIFS(BC_TinhHinh_TaiChinh!$G:$G,BC_TinhHinh_TaiChinh!$D:$D,'DongTien_Working 2020'!AI$2)</f>
        <v>0</v>
      </c>
      <c r="AJ6" s="26">
        <f ca="1">SUMIFS(BC_TinhHinh_TaiChinh!$G:$G,BC_TinhHinh_TaiChinh!$D:$D,'DongTien_Working 2020'!AJ$2)</f>
        <v>8358798645</v>
      </c>
      <c r="AK6" s="26">
        <f ca="1">SUMIFS(BC_TinhHinh_TaiChinh!$G:$G,BC_TinhHinh_TaiChinh!$D:$D,'DongTien_Working 2020'!AK$2)</f>
        <v>-8358798645</v>
      </c>
      <c r="AL6" s="26">
        <f ca="1">SUMIFS(BC_TinhHinh_TaiChinh!$G:$G,BC_TinhHinh_TaiChinh!$D:$D,'DongTien_Working 2020'!AL$2)</f>
        <v>6199957200701</v>
      </c>
      <c r="AM6" s="26">
        <f ca="1">SUMIFS(BC_TinhHinh_TaiChinh!$G:$G,BC_TinhHinh_TaiChinh!$D:$D,'DongTien_Working 2020'!AM$2)</f>
        <v>-1428520145048</v>
      </c>
      <c r="AN6" s="26">
        <f ca="1">SUMIFS(BC_TinhHinh_TaiChinh!$G:$G,BC_TinhHinh_TaiChinh!$D:$D,'DongTien_Working 2020'!AN$2)</f>
        <v>0</v>
      </c>
      <c r="AO6" s="26">
        <f ca="1">SUMIFS(BC_TinhHinh_TaiChinh!$G:$G,BC_TinhHinh_TaiChinh!$D:$D,'DongTien_Working 2020'!AO$2)</f>
        <v>0</v>
      </c>
      <c r="AP6" s="26">
        <f ca="1">SUMIFS(BC_TinhHinh_TaiChinh!$G:$G,BC_TinhHinh_TaiChinh!$D:$D,'DongTien_Working 2020'!AP$2)</f>
        <v>0</v>
      </c>
      <c r="AQ6" s="26">
        <f ca="1">SUMIFS(BC_TinhHinh_TaiChinh!$G:$G,BC_TinhHinh_TaiChinh!$D:$D,'DongTien_Working 2020'!AQ$2)</f>
        <v>0</v>
      </c>
      <c r="AR6" s="26">
        <f ca="1">SUMIFS(BC_TinhHinh_TaiChinh!$G:$G,BC_TinhHinh_TaiChinh!$D:$D,'DongTien_Working 2020'!AR$2)</f>
        <v>0</v>
      </c>
      <c r="AS6" s="26">
        <f ca="1">SUMIFS(BC_TinhHinh_TaiChinh!$G:$G,BC_TinhHinh_TaiChinh!$D:$D,'DongTien_Working 2020'!AS$2)</f>
        <v>0</v>
      </c>
      <c r="AT6" s="26">
        <f ca="1">SUMIFS(BC_TinhHinh_TaiChinh!$G:$G,BC_TinhHinh_TaiChinh!$D:$D,'DongTien_Working 2020'!AT$2)</f>
        <v>0</v>
      </c>
      <c r="AU6" s="26">
        <f ca="1">SUMIFS(BC_TinhHinh_TaiChinh!$G:$G,BC_TinhHinh_TaiChinh!$D:$D,'DongTien_Working 2020'!AU$2)</f>
        <v>0</v>
      </c>
      <c r="AV6" s="26">
        <f ca="1">SUMIFS(BC_TinhHinh_TaiChinh!$G:$G,BC_TinhHinh_TaiChinh!$D:$D,'DongTien_Working 2020'!AV$2)</f>
        <v>0</v>
      </c>
      <c r="AW6" s="26">
        <f ca="1">SUMIFS(BC_TinhHinh_TaiChinh!$G:$G,BC_TinhHinh_TaiChinh!$D:$D,'DongTien_Working 2020'!AW$2)</f>
        <v>0</v>
      </c>
      <c r="AX6" s="26">
        <f ca="1">SUMIFS(BC_TinhHinh_TaiChinh!$G:$G,BC_TinhHinh_TaiChinh!$D:$D,'DongTien_Working 2020'!AX$2)</f>
        <v>0</v>
      </c>
      <c r="AY6" s="26">
        <f ca="1">SUMIFS(BC_TinhHinh_TaiChinh!$G:$G,BC_TinhHinh_TaiChinh!$D:$D,'DongTien_Working 2020'!AY$2)</f>
        <v>0</v>
      </c>
      <c r="AZ6" s="430"/>
      <c r="BA6" s="26">
        <f ca="1">-SUMIFS(BC_TinhHinh_TaiChinh!$G:$G,BC_TinhHinh_TaiChinh!$D:$D,'DongTien_Working 2020'!BA$2)</f>
        <v>0</v>
      </c>
      <c r="BB6" s="26">
        <f ca="1">-SUMIFS(BC_TinhHinh_TaiChinh!$G:$G,BC_TinhHinh_TaiChinh!$D:$D,'DongTien_Working 2020'!BB$2)</f>
        <v>0</v>
      </c>
      <c r="BC6" s="26">
        <f ca="1">-SUMIFS(BC_TinhHinh_TaiChinh!$G:$G,BC_TinhHinh_TaiChinh!$D:$D,'DongTien_Working 2020'!BC$2)</f>
        <v>-9290859479</v>
      </c>
      <c r="BD6" s="26">
        <f>-SUMIFS(BC_TinhHinh_TaiChinh!$G:$G,BC_TinhHinh_TaiChinh!$D:$D,'DongTien_Working 2020'!BD$2)</f>
        <v>0</v>
      </c>
      <c r="BE6" s="26">
        <f ca="1">-SUMIFS(BC_TinhHinh_TaiChinh!$G:$G,BC_TinhHinh_TaiChinh!$D:$D,'DongTien_Working 2020'!BE$2)</f>
        <v>-1683767647</v>
      </c>
      <c r="BF6" s="26">
        <f>-SUMIFS(BC_TinhHinh_TaiChinh!$G:$G,BC_TinhHinh_TaiChinh!$D:$D,'DongTien_Working 2020'!BF$2)</f>
        <v>0</v>
      </c>
      <c r="BG6" s="26">
        <f>-SUMIFS(BC_TinhHinh_TaiChinh!$G:$G,BC_TinhHinh_TaiChinh!$D:$D,'DongTien_Working 2020'!BG$2)</f>
        <v>0</v>
      </c>
      <c r="BH6" s="26">
        <f ca="1">-SUMIFS(BC_TinhHinh_TaiChinh!$G:$G,BC_TinhHinh_TaiChinh!$D:$D,'DongTien_Working 2020'!BH$2)</f>
        <v>0</v>
      </c>
      <c r="BI6" s="26">
        <f ca="1">-SUMIFS(BC_TinhHinh_TaiChinh!$G:$G,BC_TinhHinh_TaiChinh!$D:$D,'DongTien_Working 2020'!BI$2)</f>
        <v>0</v>
      </c>
      <c r="BJ6" s="26">
        <f ca="1">-SUMIFS(BC_TinhHinh_TaiChinh!$G:$G,BC_TinhHinh_TaiChinh!$D:$D,'DongTien_Working 2020'!BJ$2)</f>
        <v>0</v>
      </c>
      <c r="BK6" s="26">
        <f>-SUMIFS(BC_TinhHinh_TaiChinh!$G:$G,BC_TinhHinh_TaiChinh!$D:$D,'DongTien_Working 2020'!BK$2)</f>
        <v>0</v>
      </c>
      <c r="BL6" s="26">
        <f>-SUMIFS(BC_TinhHinh_TaiChinh!$G:$G,BC_TinhHinh_TaiChinh!$D:$D,'DongTien_Working 2020'!BL$2)</f>
        <v>0</v>
      </c>
      <c r="BM6" s="26">
        <f>-SUMIFS(BC_TinhHinh_TaiChinh!$G:$G,BC_TinhHinh_TaiChinh!$D:$D,'DongTien_Working 2020'!BM$2)</f>
        <v>0</v>
      </c>
      <c r="BN6" s="26">
        <f>-SUMIFS(BC_TinhHinh_TaiChinh!$G:$G,BC_TinhHinh_TaiChinh!$D:$D,'DongTien_Working 2020'!BN$2)</f>
        <v>0</v>
      </c>
      <c r="BO6" s="26">
        <f>-SUMIFS(BC_TinhHinh_TaiChinh!$G:$G,BC_TinhHinh_TaiChinh!$D:$D,'DongTien_Working 2020'!BO$2)</f>
        <v>0</v>
      </c>
      <c r="BP6" s="26">
        <f>-SUMIFS(BC_TinhHinh_TaiChinh!$G:$G,BC_TinhHinh_TaiChinh!$D:$D,'DongTien_Working 2020'!BP$2)</f>
        <v>0</v>
      </c>
      <c r="BQ6" s="26">
        <f>-SUMIFS(BC_TinhHinh_TaiChinh!$G:$G,BC_TinhHinh_TaiChinh!$D:$D,'DongTien_Working 2020'!BQ$2)</f>
        <v>0</v>
      </c>
      <c r="BR6" s="26">
        <f>-SUMIFS(BC_TinhHinh_TaiChinh!$G:$G,BC_TinhHinh_TaiChinh!$D:$D,'DongTien_Working 2020'!BR$2)</f>
        <v>0</v>
      </c>
      <c r="BS6" s="26">
        <f>-SUMIFS(BC_TinhHinh_TaiChinh!$G:$G,BC_TinhHinh_TaiChinh!$D:$D,'DongTien_Working 2020'!BS$2)</f>
        <v>0</v>
      </c>
      <c r="BT6" s="26">
        <f ca="1">-SUMIFS(BC_TinhHinh_TaiChinh!$G:$G,BC_TinhHinh_TaiChinh!$D:$D,'DongTien_Working 2020'!BT$2)</f>
        <v>0</v>
      </c>
      <c r="BU6" s="26">
        <f ca="1">-SUMIFS(BC_TinhHinh_TaiChinh!$G:$G,BC_TinhHinh_TaiChinh!$D:$D,'DongTien_Working 2020'!BU$2)</f>
        <v>-2463861108883</v>
      </c>
      <c r="BV6" s="26">
        <f ca="1">-SUMIFS(BC_TinhHinh_TaiChinh!$G:$G,BC_TinhHinh_TaiChinh!$D:$D,'DongTien_Working 2020'!BV$2)</f>
        <v>0</v>
      </c>
      <c r="BW6" s="26">
        <f>-SUMIFS(BC_TinhHinh_TaiChinh!$G:$G,BC_TinhHinh_TaiChinh!$D:$D,'DongTien_Working 2020'!BW$2)</f>
        <v>0</v>
      </c>
      <c r="BX6" s="26">
        <f>-SUMIFS(BC_TinhHinh_TaiChinh!$G:$G,BC_TinhHinh_TaiChinh!$D:$D,'DongTien_Working 2020'!BX$2)</f>
        <v>0</v>
      </c>
      <c r="BY6" s="26">
        <f>-SUMIFS(BC_TinhHinh_TaiChinh!$G:$G,BC_TinhHinh_TaiChinh!$D:$D,'DongTien_Working 2020'!BY$2)</f>
        <v>0</v>
      </c>
      <c r="BZ6" s="26">
        <f>-SUMIFS(BC_TinhHinh_TaiChinh!$G:$G,BC_TinhHinh_TaiChinh!$D:$D,'DongTien_Working 2020'!BZ$2)</f>
        <v>0</v>
      </c>
      <c r="CA6" s="26">
        <f>-SUMIFS(BC_TinhHinh_TaiChinh!$G:$G,BC_TinhHinh_TaiChinh!$D:$D,'DongTien_Working 2020'!CA$2)</f>
        <v>0</v>
      </c>
      <c r="CB6" s="430"/>
      <c r="CC6" s="26">
        <f ca="1">-SUMIFS(BC_TinhHinh_TaiChinh!$G:$G,BC_TinhHinh_TaiChinh!$D:$D,'DongTien_Working 2020'!CC$2)</f>
        <v>-3333889810736</v>
      </c>
      <c r="CD6" s="26">
        <f>-SUMIFS(BC_TinhHinh_TaiChinh!$G:$G,BC_TinhHinh_TaiChinh!$D:$D,'DongTien_Working 2020'!CD$2)</f>
        <v>0</v>
      </c>
      <c r="CE6" s="26">
        <f ca="1">-SUMIFS(BC_TinhHinh_TaiChinh!$G:$G,BC_TinhHinh_TaiChinh!$D:$D,'DongTien_Working 2020'!CE$2)</f>
        <v>0</v>
      </c>
      <c r="CF6" s="26">
        <f>-SUMIFS(BC_TinhHinh_TaiChinh!$G:$G,BC_TinhHinh_TaiChinh!$D:$D,'DongTien_Working 2020'!CF$2)</f>
        <v>0</v>
      </c>
      <c r="CG6" s="26">
        <f>-SUMIFS(BC_TinhHinh_TaiChinh!$G:$G,BC_TinhHinh_TaiChinh!$D:$D,'DongTien_Working 2020'!CG$2)</f>
        <v>0</v>
      </c>
      <c r="CH6" s="26">
        <f>-SUMIFS(BC_TinhHinh_TaiChinh!$G:$G,BC_TinhHinh_TaiChinh!$D:$D,'DongTien_Working 2020'!CH$2)</f>
        <v>0</v>
      </c>
      <c r="CI6" s="26">
        <f>-SUMIFS(BC_TinhHinh_TaiChinh!$G:$G,BC_TinhHinh_TaiChinh!$D:$D,'DongTien_Working 2020'!CI$2)</f>
        <v>0</v>
      </c>
      <c r="CJ6" s="26">
        <f>-SUMIFS(BC_TinhHinh_TaiChinh!$G:$G,BC_TinhHinh_TaiChinh!$D:$D,'DongTien_Working 2020'!CJ$2)</f>
        <v>0</v>
      </c>
      <c r="CK6" s="26">
        <f>-SUMIFS(BC_TinhHinh_TaiChinh!$G:$G,BC_TinhHinh_TaiChinh!$D:$D,'DongTien_Working 2020'!CK$2)</f>
        <v>0</v>
      </c>
      <c r="CL6" s="26">
        <f ca="1">-SUMIFS(BC_TinhHinh_TaiChinh!$G:$G,BC_TinhHinh_TaiChinh!$D:$D,'DongTien_Working 2020'!CL$2)</f>
        <v>1027537261541</v>
      </c>
      <c r="CM6" s="26">
        <f>-SUMIFS(BC_TinhHinh_TaiChinh!$G:$G,BC_TinhHinh_TaiChinh!$D:$D,'DongTien_Working 2020'!CM$2)</f>
        <v>0</v>
      </c>
      <c r="CN6" s="26">
        <f>-SUMIFS(BC_TinhHinh_TaiChinh!$G:$G,BC_TinhHinh_TaiChinh!$D:$D,'DongTien_Working 2020'!CN$2)</f>
        <v>0</v>
      </c>
      <c r="CO6" s="26">
        <f>-SUMIFS(BC_TinhHinh_TaiChinh!$G:$G,BC_TinhHinh_TaiChinh!$D:$D,'DongTien_Working 2020'!CO$2)</f>
        <v>0</v>
      </c>
      <c r="CP6" s="26">
        <f>-SUMIFS(BC_TinhHinh_TaiChinh!$G:$G,BC_TinhHinh_TaiChinh!$D:$D,'DongTien_Working 2020'!CP$2)</f>
        <v>0</v>
      </c>
      <c r="CQ6" s="435">
        <f ca="1">SUM(F6:CL6)</f>
        <v>0</v>
      </c>
      <c r="CR6" s="40"/>
      <c r="CS6" s="40"/>
    </row>
    <row r="7" spans="1:97" s="50" customFormat="1" x14ac:dyDescent="0.2">
      <c r="B7" s="50">
        <f ca="1">SUM(F7:CL7)</f>
        <v>0</v>
      </c>
      <c r="C7" s="19" t="s">
        <v>673</v>
      </c>
      <c r="D7" s="19" t="s">
        <v>675</v>
      </c>
      <c r="E7" s="425"/>
      <c r="F7" s="26">
        <f ca="1">SUMIFS(BC_TinhHinh_TaiChinh!$F:$F,BC_TinhHinh_TaiChinh!$D:$D,'DongTien_Working 2020'!F$2)</f>
        <v>59787114606</v>
      </c>
      <c r="G7" s="26">
        <f>SUMIFS(BC_TinhHinh_TaiChinh!$F:$F,BC_TinhHinh_TaiChinh!$D:$D,'DongTien_Working 2020'!G$2)</f>
        <v>0</v>
      </c>
      <c r="H7" s="26">
        <f>SUMIFS(BC_TinhHinh_TaiChinh!$F:$F,BC_TinhHinh_TaiChinh!$D:$D,'DongTien_Working 2020'!H$2)</f>
        <v>0</v>
      </c>
      <c r="I7" s="26">
        <f>SUMIFS(BC_TinhHinh_TaiChinh!$F:$F,BC_TinhHinh_TaiChinh!$D:$D,'DongTien_Working 2020'!I$2)</f>
        <v>0</v>
      </c>
      <c r="J7" s="26">
        <f ca="1">SUMIFS(BC_TinhHinh_TaiChinh!$F:$F,BC_TinhHinh_TaiChinh!$D:$D,'DongTien_Working 2020'!J$2)</f>
        <v>0</v>
      </c>
      <c r="K7" s="26">
        <f ca="1">SUMIFS(BC_TinhHinh_TaiChinh!$F:$F,BC_TinhHinh_TaiChinh!$D:$D,'DongTien_Working 2020'!K$2)</f>
        <v>0</v>
      </c>
      <c r="L7" s="26">
        <f ca="1">SUMIFS(BC_TinhHinh_TaiChinh!$F:$F,BC_TinhHinh_TaiChinh!$D:$D,'DongTien_Working 2020'!L$2)</f>
        <v>0</v>
      </c>
      <c r="M7" s="26">
        <f ca="1">SUMIFS(BC_TinhHinh_TaiChinh!$F:$F,BC_TinhHinh_TaiChinh!$D:$D,'DongTien_Working 2020'!M$2)</f>
        <v>0</v>
      </c>
      <c r="N7" s="26">
        <f ca="1">SUMIFS(BC_TinhHinh_TaiChinh!$F:$F,BC_TinhHinh_TaiChinh!$D:$D,'DongTien_Working 2020'!N$2)</f>
        <v>0</v>
      </c>
      <c r="O7" s="26">
        <f ca="1">SUMIFS(BC_TinhHinh_TaiChinh!$F:$F,BC_TinhHinh_TaiChinh!$D:$D,'DongTien_Working 2020'!O$2)</f>
        <v>400000000</v>
      </c>
      <c r="P7" s="26">
        <f ca="1">SUMIFS(BC_TinhHinh_TaiChinh!$F:$F,BC_TinhHinh_TaiChinh!$D:$D,'DongTien_Working 2020'!P$2)</f>
        <v>0</v>
      </c>
      <c r="Q7" s="26">
        <f ca="1">SUMIFS(BC_TinhHinh_TaiChinh!$F:$F,BC_TinhHinh_TaiChinh!$D:$D,'DongTien_Working 2020'!Q$2)</f>
        <v>0</v>
      </c>
      <c r="R7" s="26">
        <f ca="1">SUMIFS(BC_TinhHinh_TaiChinh!$F:$F,BC_TinhHinh_TaiChinh!$D:$D,'DongTien_Working 2020'!R$2)</f>
        <v>0</v>
      </c>
      <c r="S7" s="26">
        <f ca="1">SUMIFS(BC_TinhHinh_TaiChinh!$F:$F,BC_TinhHinh_TaiChinh!$D:$D,'DongTien_Working 2020'!S$2)</f>
        <v>0</v>
      </c>
      <c r="T7" s="26">
        <f ca="1">SUMIFS(BC_TinhHinh_TaiChinh!$F:$F,BC_TinhHinh_TaiChinh!$D:$D,'DongTien_Working 2020'!T$2)</f>
        <v>0</v>
      </c>
      <c r="U7" s="26">
        <f ca="1">SUMIFS(BC_TinhHinh_TaiChinh!$F:$F,BC_TinhHinh_TaiChinh!$D:$D,'DongTien_Working 2020'!U$2)</f>
        <v>0</v>
      </c>
      <c r="V7" s="26">
        <f ca="1">SUMIFS(BC_TinhHinh_TaiChinh!$F:$F,BC_TinhHinh_TaiChinh!$D:$D,'DongTien_Working 2020'!V$2)</f>
        <v>380363644</v>
      </c>
      <c r="W7" s="26">
        <f ca="1">SUMIFS(BC_TinhHinh_TaiChinh!$F:$F,BC_TinhHinh_TaiChinh!$D:$D,'DongTien_Working 2020'!W$2)</f>
        <v>0</v>
      </c>
      <c r="X7" s="26">
        <f ca="1">SUMIFS(BC_TinhHinh_TaiChinh!$F:$F,BC_TinhHinh_TaiChinh!$D:$D,'DongTien_Working 2020'!X$2)</f>
        <v>0</v>
      </c>
      <c r="Y7" s="26">
        <f ca="1">SUMIFS(BC_TinhHinh_TaiChinh!$F:$F,BC_TinhHinh_TaiChinh!$D:$D,'DongTien_Working 2020'!Y$2)</f>
        <v>0</v>
      </c>
      <c r="Z7" s="26">
        <f ca="1">SUMIFS(BC_TinhHinh_TaiChinh!$F:$F,BC_TinhHinh_TaiChinh!$D:$D,'DongTien_Working 2020'!Z$2)</f>
        <v>0</v>
      </c>
      <c r="AA7" s="26">
        <f ca="1">SUMIFS(BC_TinhHinh_TaiChinh!$F:$F,BC_TinhHinh_TaiChinh!$D:$D,'DongTien_Working 2020'!AA$2)</f>
        <v>0</v>
      </c>
      <c r="AB7" s="26">
        <f ca="1">SUMIFS(BC_TinhHinh_TaiChinh!$F:$F,BC_TinhHinh_TaiChinh!$D:$D,'DongTien_Working 2020'!AB$2)</f>
        <v>0</v>
      </c>
      <c r="AC7" s="26">
        <f ca="1">SUMIFS(BC_TinhHinh_TaiChinh!$F:$F,BC_TinhHinh_TaiChinh!$D:$D,'DongTien_Working 2020'!AC$2)</f>
        <v>0</v>
      </c>
      <c r="AD7" s="26">
        <f ca="1">SUMIFS(BC_TinhHinh_TaiChinh!$F:$F,BC_TinhHinh_TaiChinh!$D:$D,'DongTien_Working 2020'!AD$2)</f>
        <v>1841300000000</v>
      </c>
      <c r="AE7" s="26">
        <f ca="1">SUMIFS(BC_TinhHinh_TaiChinh!$F:$F,BC_TinhHinh_TaiChinh!$D:$D,'DongTien_Working 2020'!AE$2)</f>
        <v>0</v>
      </c>
      <c r="AF7" s="26">
        <f ca="1">SUMIFS(BC_TinhHinh_TaiChinh!$F:$F,BC_TinhHinh_TaiChinh!$D:$D,'DongTien_Working 2020'!AF$2)</f>
        <v>205464255</v>
      </c>
      <c r="AG7" s="26">
        <f ca="1">SUMIFS(BC_TinhHinh_TaiChinh!$F:$F,BC_TinhHinh_TaiChinh!$D:$D,'DongTien_Working 2020'!AG$2)</f>
        <v>-205464255</v>
      </c>
      <c r="AH7" s="26">
        <f ca="1">SUMIFS(BC_TinhHinh_TaiChinh!$F:$F,BC_TinhHinh_TaiChinh!$D:$D,'DongTien_Working 2020'!AH$2)</f>
        <v>0</v>
      </c>
      <c r="AI7" s="26">
        <f ca="1">SUMIFS(BC_TinhHinh_TaiChinh!$F:$F,BC_TinhHinh_TaiChinh!$D:$D,'DongTien_Working 2020'!AI$2)</f>
        <v>0</v>
      </c>
      <c r="AJ7" s="26">
        <f ca="1">SUMIFS(BC_TinhHinh_TaiChinh!$F:$F,BC_TinhHinh_TaiChinh!$D:$D,'DongTien_Working 2020'!AJ$2)</f>
        <v>8358798645</v>
      </c>
      <c r="AK7" s="26">
        <f ca="1">SUMIFS(BC_TinhHinh_TaiChinh!$F:$F,BC_TinhHinh_TaiChinh!$D:$D,'DongTien_Working 2020'!AK$2)</f>
        <v>-8358798645</v>
      </c>
      <c r="AL7" s="26">
        <f ca="1">SUMIFS(BC_TinhHinh_TaiChinh!$F:$F,BC_TinhHinh_TaiChinh!$D:$D,'DongTien_Working 2020'!AL$2)</f>
        <v>6203720688624</v>
      </c>
      <c r="AM7" s="26">
        <f ca="1">SUMIFS(BC_TinhHinh_TaiChinh!$F:$F,BC_TinhHinh_TaiChinh!$D:$D,'DongTien_Working 2020'!AM$2)</f>
        <v>-1602546407308</v>
      </c>
      <c r="AN7" s="26">
        <f ca="1">SUMIFS(BC_TinhHinh_TaiChinh!$F:$F,BC_TinhHinh_TaiChinh!$D:$D,'DongTien_Working 2020'!AN$2)</f>
        <v>0</v>
      </c>
      <c r="AO7" s="26">
        <f ca="1">SUMIFS(BC_TinhHinh_TaiChinh!$F:$F,BC_TinhHinh_TaiChinh!$D:$D,'DongTien_Working 2020'!AO$2)</f>
        <v>120000000000</v>
      </c>
      <c r="AP7" s="26">
        <f ca="1">SUMIFS(BC_TinhHinh_TaiChinh!$F:$F,BC_TinhHinh_TaiChinh!$D:$D,'DongTien_Working 2020'!AP$2)</f>
        <v>0</v>
      </c>
      <c r="AQ7" s="26">
        <f ca="1">SUMIFS(BC_TinhHinh_TaiChinh!$F:$F,BC_TinhHinh_TaiChinh!$D:$D,'DongTien_Working 2020'!AQ$2)</f>
        <v>0</v>
      </c>
      <c r="AR7" s="26">
        <f ca="1">SUMIFS(BC_TinhHinh_TaiChinh!$F:$F,BC_TinhHinh_TaiChinh!$D:$D,'DongTien_Working 2020'!AR$2)</f>
        <v>0</v>
      </c>
      <c r="AS7" s="26">
        <f ca="1">SUMIFS(BC_TinhHinh_TaiChinh!$F:$F,BC_TinhHinh_TaiChinh!$D:$D,'DongTien_Working 2020'!AS$2)</f>
        <v>0</v>
      </c>
      <c r="AT7" s="26">
        <f ca="1">SUMIFS(BC_TinhHinh_TaiChinh!$F:$F,BC_TinhHinh_TaiChinh!$D:$D,'DongTien_Working 2020'!AT$2)</f>
        <v>0</v>
      </c>
      <c r="AU7" s="26">
        <f ca="1">SUMIFS(BC_TinhHinh_TaiChinh!$F:$F,BC_TinhHinh_TaiChinh!$D:$D,'DongTien_Working 2020'!AU$2)</f>
        <v>0</v>
      </c>
      <c r="AV7" s="26">
        <f ca="1">SUMIFS(BC_TinhHinh_TaiChinh!$F:$F,BC_TinhHinh_TaiChinh!$D:$D,'DongTien_Working 2020'!AV$2)</f>
        <v>0</v>
      </c>
      <c r="AW7" s="26">
        <f ca="1">SUMIFS(BC_TinhHinh_TaiChinh!$F:$F,BC_TinhHinh_TaiChinh!$D:$D,'DongTien_Working 2020'!AW$2)</f>
        <v>0</v>
      </c>
      <c r="AX7" s="26">
        <f ca="1">SUMIFS(BC_TinhHinh_TaiChinh!$F:$F,BC_TinhHinh_TaiChinh!$D:$D,'DongTien_Working 2020'!AX$2)</f>
        <v>0</v>
      </c>
      <c r="AY7" s="26">
        <f ca="1">SUMIFS(BC_TinhHinh_TaiChinh!$F:$F,BC_TinhHinh_TaiChinh!$D:$D,'DongTien_Working 2020'!AY$2)</f>
        <v>0</v>
      </c>
      <c r="AZ7" s="430"/>
      <c r="BA7" s="26">
        <f ca="1">-SUMIFS(BC_TinhHinh_TaiChinh!$F:$F,BC_TinhHinh_TaiChinh!$D:$D,'DongTien_Working 2020'!BA$2)</f>
        <v>-62000000000</v>
      </c>
      <c r="BB7" s="26">
        <f ca="1">-SUMIFS(BC_TinhHinh_TaiChinh!$F:$F,BC_TinhHinh_TaiChinh!$D:$D,'DongTien_Working 2020'!BB$2)</f>
        <v>-99999999</v>
      </c>
      <c r="BC7" s="26">
        <f ca="1">-SUMIFS(BC_TinhHinh_TaiChinh!$F:$F,BC_TinhHinh_TaiChinh!$D:$D,'DongTien_Working 2020'!BC$2)</f>
        <v>-1514531883</v>
      </c>
      <c r="BD7" s="26">
        <f>-SUMIFS(BC_TinhHinh_TaiChinh!$F:$F,BC_TinhHinh_TaiChinh!$D:$D,'DongTien_Working 2020'!BD$2)</f>
        <v>0</v>
      </c>
      <c r="BE7" s="26">
        <f ca="1">-SUMIFS(BC_TinhHinh_TaiChinh!$F:$F,BC_TinhHinh_TaiChinh!$D:$D,'DongTien_Working 2020'!BE$2)</f>
        <v>-8000000000</v>
      </c>
      <c r="BF7" s="26">
        <f>-SUMIFS(BC_TinhHinh_TaiChinh!$F:$F,BC_TinhHinh_TaiChinh!$D:$D,'DongTien_Working 2020'!BF$2)</f>
        <v>0</v>
      </c>
      <c r="BG7" s="26">
        <f>-SUMIFS(BC_TinhHinh_TaiChinh!$F:$F,BC_TinhHinh_TaiChinh!$D:$D,'DongTien_Working 2020'!BG$2)</f>
        <v>0</v>
      </c>
      <c r="BH7" s="26">
        <f ca="1">-SUMIFS(BC_TinhHinh_TaiChinh!$F:$F,BC_TinhHinh_TaiChinh!$D:$D,'DongTien_Working 2020'!BH$2)</f>
        <v>0</v>
      </c>
      <c r="BI7" s="26">
        <f ca="1">-SUMIFS(BC_TinhHinh_TaiChinh!$F:$F,BC_TinhHinh_TaiChinh!$D:$D,'DongTien_Working 2020'!BI$2)</f>
        <v>0</v>
      </c>
      <c r="BJ7" s="26">
        <f ca="1">-SUMIFS(BC_TinhHinh_TaiChinh!$F:$F,BC_TinhHinh_TaiChinh!$D:$D,'DongTien_Working 2020'!BJ$2)</f>
        <v>-35000000000</v>
      </c>
      <c r="BK7" s="26">
        <f>-SUMIFS(BC_TinhHinh_TaiChinh!$F:$F,BC_TinhHinh_TaiChinh!$D:$D,'DongTien_Working 2020'!BK$2)</f>
        <v>0</v>
      </c>
      <c r="BL7" s="26">
        <f>-SUMIFS(BC_TinhHinh_TaiChinh!$F:$F,BC_TinhHinh_TaiChinh!$D:$D,'DongTien_Working 2020'!BL$2)</f>
        <v>0</v>
      </c>
      <c r="BM7" s="26">
        <f>-SUMIFS(BC_TinhHinh_TaiChinh!$F:$F,BC_TinhHinh_TaiChinh!$D:$D,'DongTien_Working 2020'!BM$2)</f>
        <v>0</v>
      </c>
      <c r="BN7" s="26">
        <f>-SUMIFS(BC_TinhHinh_TaiChinh!$F:$F,BC_TinhHinh_TaiChinh!$D:$D,'DongTien_Working 2020'!BN$2)</f>
        <v>0</v>
      </c>
      <c r="BO7" s="26">
        <f>-SUMIFS(BC_TinhHinh_TaiChinh!$F:$F,BC_TinhHinh_TaiChinh!$D:$D,'DongTien_Working 2020'!BO$2)</f>
        <v>0</v>
      </c>
      <c r="BP7" s="26">
        <f>-SUMIFS(BC_TinhHinh_TaiChinh!$F:$F,BC_TinhHinh_TaiChinh!$D:$D,'DongTien_Working 2020'!BP$2)</f>
        <v>0</v>
      </c>
      <c r="BQ7" s="26">
        <f>-SUMIFS(BC_TinhHinh_TaiChinh!$F:$F,BC_TinhHinh_TaiChinh!$D:$D,'DongTien_Working 2020'!BQ$2)</f>
        <v>0</v>
      </c>
      <c r="BR7" s="26">
        <f>-SUMIFS(BC_TinhHinh_TaiChinh!$F:$F,BC_TinhHinh_TaiChinh!$D:$D,'DongTien_Working 2020'!BR$2)</f>
        <v>0</v>
      </c>
      <c r="BS7" s="26">
        <f>-SUMIFS(BC_TinhHinh_TaiChinh!$F:$F,BC_TinhHinh_TaiChinh!$D:$D,'DongTien_Working 2020'!BS$2)</f>
        <v>0</v>
      </c>
      <c r="BT7" s="26">
        <f ca="1">-SUMIFS(BC_TinhHinh_TaiChinh!$F:$F,BC_TinhHinh_TaiChinh!$D:$D,'DongTien_Working 2020'!BT$2)</f>
        <v>0</v>
      </c>
      <c r="BU7" s="26">
        <f ca="1">-SUMIFS(BC_TinhHinh_TaiChinh!$F:$F,BC_TinhHinh_TaiChinh!$D:$D,'DongTien_Working 2020'!BU$2)</f>
        <v>-4056842168371</v>
      </c>
      <c r="BV7" s="26">
        <f ca="1">-SUMIFS(BC_TinhHinh_TaiChinh!$F:$F,BC_TinhHinh_TaiChinh!$D:$D,'DongTien_Working 2020'!BV$2)</f>
        <v>-80000000000</v>
      </c>
      <c r="BW7" s="26">
        <f>-SUMIFS(BC_TinhHinh_TaiChinh!$F:$F,BC_TinhHinh_TaiChinh!$D:$D,'DongTien_Working 2020'!BW$2)</f>
        <v>0</v>
      </c>
      <c r="BX7" s="26">
        <f>-SUMIFS(BC_TinhHinh_TaiChinh!$F:$F,BC_TinhHinh_TaiChinh!$D:$D,'DongTien_Working 2020'!BX$2)</f>
        <v>0</v>
      </c>
      <c r="BY7" s="26">
        <f>-SUMIFS(BC_TinhHinh_TaiChinh!$F:$F,BC_TinhHinh_TaiChinh!$D:$D,'DongTien_Working 2020'!BY$2)</f>
        <v>0</v>
      </c>
      <c r="BZ7" s="26">
        <f>-SUMIFS(BC_TinhHinh_TaiChinh!$F:$F,BC_TinhHinh_TaiChinh!$D:$D,'DongTien_Working 2020'!BZ$2)</f>
        <v>0</v>
      </c>
      <c r="CA7" s="26">
        <f>-SUMIFS(BC_TinhHinh_TaiChinh!$F:$F,BC_TinhHinh_TaiChinh!$D:$D,'DongTien_Working 2020'!CA$2)</f>
        <v>0</v>
      </c>
      <c r="CB7" s="430"/>
      <c r="CC7" s="26">
        <f ca="1">-SUMIFS(BC_TinhHinh_TaiChinh!$F:$F,BC_TinhHinh_TaiChinh!$D:$D,'DongTien_Working 2020'!CC$2)</f>
        <v>-3333889810736</v>
      </c>
      <c r="CD7" s="26">
        <f>-SUMIFS(BC_TinhHinh_TaiChinh!$F:$F,BC_TinhHinh_TaiChinh!$D:$D,'DongTien_Working 2020'!CD$2)</f>
        <v>0</v>
      </c>
      <c r="CE7" s="26">
        <f ca="1">-SUMIFS(BC_TinhHinh_TaiChinh!$F:$F,BC_TinhHinh_TaiChinh!$D:$D,'DongTien_Working 2020'!CE$2)</f>
        <v>0</v>
      </c>
      <c r="CF7" s="26">
        <f>-SUMIFS(BC_TinhHinh_TaiChinh!$F:$F,BC_TinhHinh_TaiChinh!$D:$D,'DongTien_Working 2020'!CF$2)</f>
        <v>0</v>
      </c>
      <c r="CG7" s="26">
        <f>-SUMIFS(BC_TinhHinh_TaiChinh!$F:$F,BC_TinhHinh_TaiChinh!$D:$D,'DongTien_Working 2020'!CG$2)</f>
        <v>0</v>
      </c>
      <c r="CH7" s="26">
        <f>-SUMIFS(BC_TinhHinh_TaiChinh!$F:$F,BC_TinhHinh_TaiChinh!$D:$D,'DongTien_Working 2020'!CH$2)</f>
        <v>0</v>
      </c>
      <c r="CI7" s="26">
        <f>-SUMIFS(BC_TinhHinh_TaiChinh!$F:$F,BC_TinhHinh_TaiChinh!$D:$D,'DongTien_Working 2020'!CI$2)</f>
        <v>0</v>
      </c>
      <c r="CJ7" s="26">
        <f>-SUMIFS(BC_TinhHinh_TaiChinh!$F:$F,BC_TinhHinh_TaiChinh!$D:$D,'DongTien_Working 2020'!CJ$2)</f>
        <v>0</v>
      </c>
      <c r="CK7" s="26">
        <f>-SUMIFS(BC_TinhHinh_TaiChinh!$F:$F,BC_TinhHinh_TaiChinh!$D:$D,'DongTien_Working 2020'!CK$2)</f>
        <v>0</v>
      </c>
      <c r="CL7" s="26">
        <f ca="1">-SUMIFS(BC_TinhHinh_TaiChinh!$F:$F,BC_TinhHinh_TaiChinh!$D:$D,'DongTien_Working 2020'!CL$2)</f>
        <v>954304751423</v>
      </c>
      <c r="CM7" s="26">
        <f>-SUMIFS(BC_TinhHinh_TaiChinh!$F:$F,BC_TinhHinh_TaiChinh!$D:$D,'DongTien_Working 2020'!CM$2)</f>
        <v>0</v>
      </c>
      <c r="CN7" s="26">
        <f>-SUMIFS(BC_TinhHinh_TaiChinh!$F:$F,BC_TinhHinh_TaiChinh!$D:$D,'DongTien_Working 2020'!CN$2)</f>
        <v>0</v>
      </c>
      <c r="CO7" s="26">
        <f>-SUMIFS(BC_TinhHinh_TaiChinh!$F:$F,BC_TinhHinh_TaiChinh!$D:$D,'DongTien_Working 2020'!CO$2)</f>
        <v>0</v>
      </c>
      <c r="CP7" s="26">
        <f>-SUMIFS(BC_TinhHinh_TaiChinh!$F:$F,BC_TinhHinh_TaiChinh!$D:$D,'DongTien_Working 2020'!CP$2)</f>
        <v>0</v>
      </c>
      <c r="CQ7" s="435">
        <f ca="1">SUM(F7:CL7)</f>
        <v>0</v>
      </c>
      <c r="CR7" s="40"/>
      <c r="CS7" s="40"/>
    </row>
    <row r="8" spans="1:97" x14ac:dyDescent="0.2">
      <c r="F8" s="64">
        <f ca="1">F7-F6</f>
        <v>59735885055</v>
      </c>
      <c r="G8" s="65">
        <f t="shared" ref="G8:BR8" si="2">G7-G6</f>
        <v>0</v>
      </c>
      <c r="H8" s="65">
        <f t="shared" si="2"/>
        <v>0</v>
      </c>
      <c r="I8" s="65">
        <f t="shared" si="2"/>
        <v>0</v>
      </c>
      <c r="J8" s="65">
        <f ca="1">J7-J6</f>
        <v>-9300000000</v>
      </c>
      <c r="K8" s="65">
        <f ca="1">K7-K6</f>
        <v>0</v>
      </c>
      <c r="L8" s="65">
        <f t="shared" ca="1" si="2"/>
        <v>0</v>
      </c>
      <c r="M8" s="65">
        <f t="shared" ca="1" si="2"/>
        <v>0</v>
      </c>
      <c r="N8" s="65">
        <f t="shared" ca="1" si="2"/>
        <v>0</v>
      </c>
      <c r="O8" s="65">
        <f t="shared" ca="1" si="2"/>
        <v>0</v>
      </c>
      <c r="P8" s="65">
        <f t="shared" ca="1" si="2"/>
        <v>0</v>
      </c>
      <c r="Q8" s="65">
        <f t="shared" ca="1" si="2"/>
        <v>0</v>
      </c>
      <c r="R8" s="65">
        <f t="shared" ca="1" si="2"/>
        <v>0</v>
      </c>
      <c r="S8" s="65">
        <f t="shared" ca="1" si="2"/>
        <v>0</v>
      </c>
      <c r="T8" s="65">
        <f t="shared" ca="1" si="2"/>
        <v>0</v>
      </c>
      <c r="U8" s="65">
        <f t="shared" ca="1" si="2"/>
        <v>0</v>
      </c>
      <c r="V8" s="65">
        <f t="shared" ca="1" si="2"/>
        <v>380363644</v>
      </c>
      <c r="W8" s="65">
        <f t="shared" ca="1" si="2"/>
        <v>0</v>
      </c>
      <c r="X8" s="65">
        <f t="shared" ca="1" si="2"/>
        <v>0</v>
      </c>
      <c r="Y8" s="65">
        <f t="shared" ca="1" si="2"/>
        <v>0</v>
      </c>
      <c r="Z8" s="65">
        <f t="shared" ca="1" si="2"/>
        <v>0</v>
      </c>
      <c r="AA8" s="65">
        <f t="shared" ca="1" si="2"/>
        <v>0</v>
      </c>
      <c r="AB8" s="65">
        <f t="shared" ca="1" si="2"/>
        <v>0</v>
      </c>
      <c r="AC8" s="65">
        <f t="shared" ca="1" si="2"/>
        <v>0</v>
      </c>
      <c r="AD8" s="65">
        <f t="shared" ca="1" si="2"/>
        <v>1841300000000</v>
      </c>
      <c r="AE8" s="65">
        <f t="shared" ca="1" si="2"/>
        <v>0</v>
      </c>
      <c r="AF8" s="65">
        <f t="shared" ca="1" si="2"/>
        <v>0</v>
      </c>
      <c r="AG8" s="65">
        <f t="shared" ca="1" si="2"/>
        <v>0</v>
      </c>
      <c r="AH8" s="65">
        <f t="shared" ca="1" si="2"/>
        <v>0</v>
      </c>
      <c r="AI8" s="65">
        <f t="shared" ca="1" si="2"/>
        <v>0</v>
      </c>
      <c r="AJ8" s="65">
        <f t="shared" ca="1" si="2"/>
        <v>0</v>
      </c>
      <c r="AK8" s="65">
        <f t="shared" ca="1" si="2"/>
        <v>0</v>
      </c>
      <c r="AL8" s="65">
        <f ca="1">AL7-AL6</f>
        <v>3763487923</v>
      </c>
      <c r="AM8" s="65">
        <f t="shared" ca="1" si="2"/>
        <v>-174026262260</v>
      </c>
      <c r="AN8" s="65">
        <f t="shared" ca="1" si="2"/>
        <v>0</v>
      </c>
      <c r="AO8" s="65">
        <f t="shared" ca="1" si="2"/>
        <v>120000000000</v>
      </c>
      <c r="AP8" s="65">
        <f t="shared" ca="1" si="2"/>
        <v>0</v>
      </c>
      <c r="AQ8" s="65">
        <f t="shared" ca="1" si="2"/>
        <v>0</v>
      </c>
      <c r="AR8" s="65">
        <f t="shared" ca="1" si="2"/>
        <v>0</v>
      </c>
      <c r="AS8" s="65">
        <f t="shared" ca="1" si="2"/>
        <v>0</v>
      </c>
      <c r="AT8" s="65">
        <f t="shared" ca="1" si="2"/>
        <v>0</v>
      </c>
      <c r="AU8" s="65">
        <f t="shared" ca="1" si="2"/>
        <v>0</v>
      </c>
      <c r="AV8" s="65">
        <f t="shared" ca="1" si="2"/>
        <v>0</v>
      </c>
      <c r="AW8" s="65">
        <f t="shared" ca="1" si="2"/>
        <v>0</v>
      </c>
      <c r="AX8" s="65">
        <f t="shared" ca="1" si="2"/>
        <v>0</v>
      </c>
      <c r="AY8" s="65">
        <f t="shared" ca="1" si="2"/>
        <v>0</v>
      </c>
      <c r="AZ8" s="431"/>
      <c r="BA8" s="65">
        <f t="shared" ca="1" si="2"/>
        <v>-62000000000</v>
      </c>
      <c r="BB8" s="65">
        <f t="shared" ca="1" si="2"/>
        <v>-99999999</v>
      </c>
      <c r="BC8" s="65">
        <f t="shared" ca="1" si="2"/>
        <v>7776327596</v>
      </c>
      <c r="BD8" s="65">
        <f t="shared" si="2"/>
        <v>0</v>
      </c>
      <c r="BE8" s="65">
        <f t="shared" ca="1" si="2"/>
        <v>-6316232353</v>
      </c>
      <c r="BF8" s="65">
        <f t="shared" si="2"/>
        <v>0</v>
      </c>
      <c r="BG8" s="65">
        <f t="shared" si="2"/>
        <v>0</v>
      </c>
      <c r="BH8" s="65">
        <f t="shared" ca="1" si="2"/>
        <v>0</v>
      </c>
      <c r="BI8" s="65">
        <f t="shared" ca="1" si="2"/>
        <v>0</v>
      </c>
      <c r="BJ8" s="65">
        <f t="shared" ca="1" si="2"/>
        <v>-35000000000</v>
      </c>
      <c r="BK8" s="65">
        <f t="shared" si="2"/>
        <v>0</v>
      </c>
      <c r="BL8" s="65">
        <f t="shared" si="2"/>
        <v>0</v>
      </c>
      <c r="BM8" s="65">
        <f t="shared" si="2"/>
        <v>0</v>
      </c>
      <c r="BN8" s="65">
        <f t="shared" si="2"/>
        <v>0</v>
      </c>
      <c r="BO8" s="65">
        <f t="shared" si="2"/>
        <v>0</v>
      </c>
      <c r="BP8" s="65">
        <f t="shared" si="2"/>
        <v>0</v>
      </c>
      <c r="BQ8" s="65">
        <f t="shared" si="2"/>
        <v>0</v>
      </c>
      <c r="BR8" s="65">
        <f t="shared" si="2"/>
        <v>0</v>
      </c>
      <c r="BS8" s="65">
        <f t="shared" ref="BS8:CE8" si="3">BS7-BS6</f>
        <v>0</v>
      </c>
      <c r="BT8" s="65">
        <f t="shared" ca="1" si="3"/>
        <v>0</v>
      </c>
      <c r="BU8" s="65">
        <f t="shared" ca="1" si="3"/>
        <v>-1592981059488</v>
      </c>
      <c r="BV8" s="65">
        <f t="shared" ca="1" si="3"/>
        <v>-80000000000</v>
      </c>
      <c r="BW8" s="65">
        <f t="shared" si="3"/>
        <v>0</v>
      </c>
      <c r="BX8" s="65">
        <f t="shared" si="3"/>
        <v>0</v>
      </c>
      <c r="BY8" s="65">
        <f t="shared" si="3"/>
        <v>0</v>
      </c>
      <c r="BZ8" s="65">
        <f t="shared" si="3"/>
        <v>0</v>
      </c>
      <c r="CA8" s="65">
        <f t="shared" si="3"/>
        <v>0</v>
      </c>
      <c r="CB8" s="431"/>
      <c r="CC8" s="65">
        <f t="shared" ca="1" si="3"/>
        <v>0</v>
      </c>
      <c r="CD8" s="65">
        <f t="shared" si="3"/>
        <v>0</v>
      </c>
      <c r="CE8" s="65">
        <f t="shared" ca="1" si="3"/>
        <v>0</v>
      </c>
      <c r="CF8" s="65">
        <f t="shared" ref="CF8:CP8" si="4">CF7-CF6</f>
        <v>0</v>
      </c>
      <c r="CG8" s="65">
        <f t="shared" si="4"/>
        <v>0</v>
      </c>
      <c r="CH8" s="65">
        <f t="shared" si="4"/>
        <v>0</v>
      </c>
      <c r="CI8" s="65">
        <f t="shared" si="4"/>
        <v>0</v>
      </c>
      <c r="CJ8" s="65">
        <f t="shared" si="4"/>
        <v>0</v>
      </c>
      <c r="CK8" s="65">
        <f t="shared" si="4"/>
        <v>0</v>
      </c>
      <c r="CL8" s="65">
        <f ca="1">CL7-CL6</f>
        <v>-73232510118</v>
      </c>
      <c r="CM8" s="65">
        <f t="shared" si="4"/>
        <v>0</v>
      </c>
      <c r="CN8" s="65">
        <f t="shared" si="4"/>
        <v>0</v>
      </c>
      <c r="CO8" s="65">
        <f t="shared" si="4"/>
        <v>0</v>
      </c>
      <c r="CP8" s="65">
        <f t="shared" si="4"/>
        <v>0</v>
      </c>
      <c r="CQ8" s="436"/>
    </row>
    <row r="9" spans="1:97" ht="24.75" hidden="1" customHeight="1" x14ac:dyDescent="0.2">
      <c r="C9" s="11" t="s">
        <v>313</v>
      </c>
      <c r="D9" s="11" t="s">
        <v>314</v>
      </c>
      <c r="E9" s="11" t="s">
        <v>571</v>
      </c>
      <c r="F9" s="21"/>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31"/>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1"/>
      <c r="CC9" s="29"/>
      <c r="CD9" s="29"/>
      <c r="CE9" s="29"/>
      <c r="CF9" s="29"/>
      <c r="CG9" s="29"/>
      <c r="CH9" s="29"/>
      <c r="CI9" s="29"/>
      <c r="CJ9" s="29"/>
      <c r="CK9" s="29"/>
      <c r="CL9" s="29"/>
      <c r="CM9" s="29"/>
      <c r="CN9" s="29"/>
      <c r="CO9" s="29"/>
      <c r="CP9" s="29"/>
      <c r="CQ9" s="437"/>
    </row>
    <row r="10" spans="1:97" x14ac:dyDescent="0.2">
      <c r="C10" s="51"/>
      <c r="D10" s="52"/>
      <c r="E10" s="53"/>
      <c r="F10" s="62"/>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31"/>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31"/>
      <c r="CC10" s="46"/>
      <c r="CD10" s="46"/>
      <c r="CE10" s="46"/>
      <c r="CF10" s="46"/>
      <c r="CG10" s="46"/>
      <c r="CH10" s="46"/>
      <c r="CI10" s="46"/>
      <c r="CJ10" s="46"/>
      <c r="CK10" s="46"/>
      <c r="CL10" s="46"/>
      <c r="CM10" s="46"/>
      <c r="CN10" s="46"/>
      <c r="CO10" s="46"/>
      <c r="CP10" s="46"/>
      <c r="CQ10" s="437"/>
    </row>
    <row r="11" spans="1:97" x14ac:dyDescent="0.2">
      <c r="C11" s="10"/>
      <c r="E11" s="9"/>
      <c r="F11" s="2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437"/>
      <c r="CR11" s="43" t="s">
        <v>700</v>
      </c>
    </row>
    <row r="12" spans="1:97" ht="25.5" customHeight="1" x14ac:dyDescent="0.2">
      <c r="C12" s="17" t="s">
        <v>590</v>
      </c>
      <c r="D12" s="17" t="s">
        <v>623</v>
      </c>
      <c r="E12" s="7"/>
      <c r="F12" s="63"/>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31"/>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31"/>
      <c r="CC12" s="46"/>
      <c r="CD12" s="46"/>
      <c r="CE12" s="46"/>
      <c r="CF12" s="46"/>
      <c r="CG12" s="46"/>
      <c r="CH12" s="46"/>
      <c r="CI12" s="46"/>
      <c r="CJ12" s="46"/>
      <c r="CK12" s="46"/>
      <c r="CL12" s="46"/>
      <c r="CM12" s="46"/>
      <c r="CN12" s="46"/>
      <c r="CO12" s="46"/>
      <c r="CP12" s="46"/>
      <c r="CQ12" s="437"/>
      <c r="CR12" s="43" t="s">
        <v>700</v>
      </c>
    </row>
    <row r="13" spans="1:97" x14ac:dyDescent="0.2">
      <c r="A13" s="438" t="b">
        <f ca="1">B13=F13</f>
        <v>1</v>
      </c>
      <c r="B13" s="48">
        <f ca="1">BC_KQKD!F30</f>
        <v>79290637648</v>
      </c>
      <c r="C13" s="17" t="s">
        <v>658</v>
      </c>
      <c r="D13" s="17" t="s">
        <v>659</v>
      </c>
      <c r="E13" s="8">
        <v>1</v>
      </c>
      <c r="F13" s="22">
        <f ca="1">ROUND(SUM(G13:CQ13),0)</f>
        <v>79290637648</v>
      </c>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31"/>
      <c r="BA13" s="46"/>
      <c r="BB13" s="46"/>
      <c r="BC13" s="46">
        <f ca="1">Thuyet_Minh!E225</f>
        <v>6058127530</v>
      </c>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31"/>
      <c r="CC13" s="46"/>
      <c r="CD13" s="46"/>
      <c r="CE13" s="46"/>
      <c r="CF13" s="46"/>
      <c r="CG13" s="46"/>
      <c r="CH13" s="46"/>
      <c r="CI13" s="46"/>
      <c r="CJ13" s="46"/>
      <c r="CK13" s="46"/>
      <c r="CL13" s="46">
        <f ca="1">Thuyet_Minh!F248</f>
        <v>73232510118</v>
      </c>
      <c r="CM13" s="46"/>
      <c r="CN13" s="46"/>
      <c r="CO13" s="46"/>
      <c r="CP13" s="46"/>
      <c r="CQ13" s="437"/>
      <c r="CR13" s="43" t="s">
        <v>700</v>
      </c>
      <c r="CS13" s="60"/>
    </row>
    <row r="14" spans="1:97" x14ac:dyDescent="0.2">
      <c r="C14" s="17" t="s">
        <v>591</v>
      </c>
      <c r="D14" s="17" t="s">
        <v>624</v>
      </c>
      <c r="E14" s="8"/>
      <c r="F14" s="23"/>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31"/>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31"/>
      <c r="CC14" s="46"/>
      <c r="CD14" s="46"/>
      <c r="CE14" s="46"/>
      <c r="CF14" s="46"/>
      <c r="CG14" s="46"/>
      <c r="CH14" s="46"/>
      <c r="CI14" s="46"/>
      <c r="CJ14" s="46"/>
      <c r="CK14" s="46"/>
      <c r="CL14" s="46"/>
      <c r="CM14" s="46"/>
      <c r="CN14" s="46"/>
      <c r="CO14" s="46"/>
      <c r="CP14" s="46"/>
      <c r="CQ14" s="437"/>
      <c r="CR14" s="43" t="s">
        <v>700</v>
      </c>
    </row>
    <row r="15" spans="1:97" x14ac:dyDescent="0.2">
      <c r="A15" s="438" t="b">
        <f t="shared" ref="A15:A19" ca="1" si="5">B15=F15</f>
        <v>1</v>
      </c>
      <c r="B15" s="48">
        <f>Thuyet_Minh!G63</f>
        <v>174026262260</v>
      </c>
      <c r="C15" s="18" t="s">
        <v>655</v>
      </c>
      <c r="D15" s="18" t="s">
        <v>656</v>
      </c>
      <c r="E15" s="9">
        <v>2</v>
      </c>
      <c r="F15" s="23">
        <f t="shared" ref="F15:F19" ca="1" si="6">ROUND(SUM(G15:CQ15),0)</f>
        <v>174026262260</v>
      </c>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f ca="1">-AM8</f>
        <v>174026262260</v>
      </c>
      <c r="AN15" s="46"/>
      <c r="AO15" s="46"/>
      <c r="AP15" s="46"/>
      <c r="AQ15" s="46"/>
      <c r="AR15" s="46"/>
      <c r="AS15" s="46"/>
      <c r="AT15" s="46"/>
      <c r="AU15" s="46"/>
      <c r="AV15" s="46"/>
      <c r="AW15" s="46"/>
      <c r="AX15" s="46"/>
      <c r="AY15" s="46"/>
      <c r="AZ15" s="31"/>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31"/>
      <c r="CC15" s="46"/>
      <c r="CD15" s="46"/>
      <c r="CE15" s="46"/>
      <c r="CF15" s="46"/>
      <c r="CG15" s="46"/>
      <c r="CH15" s="46"/>
      <c r="CI15" s="46"/>
      <c r="CJ15" s="46"/>
      <c r="CK15" s="46"/>
      <c r="CL15" s="46"/>
      <c r="CM15" s="46"/>
      <c r="CN15" s="46"/>
      <c r="CO15" s="46"/>
      <c r="CP15" s="46"/>
      <c r="CQ15" s="437"/>
      <c r="CR15" s="43" t="s">
        <v>700</v>
      </c>
      <c r="CS15" s="60"/>
    </row>
    <row r="16" spans="1:97" x14ac:dyDescent="0.2">
      <c r="A16" s="438" t="b">
        <f t="shared" si="5"/>
        <v>1</v>
      </c>
      <c r="C16" s="18" t="s">
        <v>657</v>
      </c>
      <c r="D16" s="18" t="s">
        <v>625</v>
      </c>
      <c r="E16" s="9">
        <v>3</v>
      </c>
      <c r="F16" s="23">
        <f t="shared" si="6"/>
        <v>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31"/>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31"/>
      <c r="CC16" s="46"/>
      <c r="CD16" s="46"/>
      <c r="CE16" s="46"/>
      <c r="CF16" s="46"/>
      <c r="CG16" s="46"/>
      <c r="CH16" s="46"/>
      <c r="CI16" s="46"/>
      <c r="CJ16" s="46"/>
      <c r="CK16" s="46"/>
      <c r="CL16" s="46"/>
      <c r="CM16" s="46"/>
      <c r="CN16" s="46"/>
      <c r="CO16" s="46"/>
      <c r="CP16" s="46"/>
      <c r="CQ16" s="437"/>
      <c r="CR16" s="43" t="s">
        <v>700</v>
      </c>
    </row>
    <row r="17" spans="1:97" ht="24" x14ac:dyDescent="0.2">
      <c r="C17" s="18" t="s">
        <v>660</v>
      </c>
      <c r="D17" s="18" t="s">
        <v>661</v>
      </c>
      <c r="E17" s="9">
        <v>4</v>
      </c>
      <c r="F17" s="23">
        <f t="shared" si="6"/>
        <v>0</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31"/>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31"/>
      <c r="CC17" s="46"/>
      <c r="CD17" s="46"/>
      <c r="CE17" s="46"/>
      <c r="CF17" s="46"/>
      <c r="CG17" s="46"/>
      <c r="CH17" s="46"/>
      <c r="CI17" s="46"/>
      <c r="CJ17" s="46"/>
      <c r="CK17" s="46"/>
      <c r="CL17" s="46"/>
      <c r="CM17" s="46"/>
      <c r="CN17" s="46"/>
      <c r="CO17" s="46"/>
      <c r="CP17" s="46"/>
      <c r="CQ17" s="437"/>
      <c r="CR17" s="43" t="s">
        <v>700</v>
      </c>
    </row>
    <row r="18" spans="1:97" x14ac:dyDescent="0.2">
      <c r="A18" s="438" t="b">
        <f t="shared" ca="1" si="5"/>
        <v>1</v>
      </c>
      <c r="B18" s="48">
        <f ca="1">-BC_KQKD!F15</f>
        <v>-131691</v>
      </c>
      <c r="C18" s="18" t="s">
        <v>662</v>
      </c>
      <c r="D18" s="18" t="s">
        <v>663</v>
      </c>
      <c r="E18" s="9">
        <v>5</v>
      </c>
      <c r="F18" s="23">
        <f t="shared" ca="1" si="6"/>
        <v>-131691</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31"/>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31"/>
      <c r="CC18" s="46"/>
      <c r="CD18" s="46"/>
      <c r="CE18" s="46"/>
      <c r="CF18" s="46"/>
      <c r="CG18" s="46"/>
      <c r="CH18" s="46"/>
      <c r="CI18" s="46"/>
      <c r="CJ18" s="46"/>
      <c r="CK18" s="46"/>
      <c r="CL18" s="46">
        <f ca="1">-BC_KQKD!F15</f>
        <v>-131691</v>
      </c>
      <c r="CM18" s="46"/>
      <c r="CN18" s="46"/>
      <c r="CO18" s="46"/>
      <c r="CP18" s="46"/>
      <c r="CQ18" s="437"/>
      <c r="CR18" s="43" t="s">
        <v>700</v>
      </c>
      <c r="CS18" s="60"/>
    </row>
    <row r="19" spans="1:97" x14ac:dyDescent="0.2">
      <c r="A19" s="438" t="b">
        <f t="shared" ca="1" si="5"/>
        <v>1</v>
      </c>
      <c r="B19" s="48">
        <f ca="1">BC_KQKD!F17</f>
        <v>1200000000</v>
      </c>
      <c r="C19" s="18" t="s">
        <v>699</v>
      </c>
      <c r="D19" s="18" t="s">
        <v>794</v>
      </c>
      <c r="E19" s="9">
        <v>6</v>
      </c>
      <c r="F19" s="23">
        <f t="shared" ca="1" si="6"/>
        <v>1200000000</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31"/>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31"/>
      <c r="CC19" s="46"/>
      <c r="CD19" s="46"/>
      <c r="CE19" s="46"/>
      <c r="CF19" s="46"/>
      <c r="CG19" s="46"/>
      <c r="CH19" s="46"/>
      <c r="CI19" s="46"/>
      <c r="CJ19" s="46"/>
      <c r="CK19" s="46"/>
      <c r="CL19" s="46">
        <f ca="1">BC_KQKD!F17</f>
        <v>1200000000</v>
      </c>
      <c r="CM19" s="46"/>
      <c r="CN19" s="46"/>
      <c r="CO19" s="46"/>
      <c r="CP19" s="46"/>
      <c r="CQ19" s="437"/>
      <c r="CR19" s="43" t="s">
        <v>700</v>
      </c>
    </row>
    <row r="20" spans="1:97" x14ac:dyDescent="0.2">
      <c r="C20" s="18" t="s">
        <v>592</v>
      </c>
      <c r="D20" s="18" t="s">
        <v>626</v>
      </c>
      <c r="E20" s="9">
        <v>7</v>
      </c>
      <c r="F20" s="23">
        <f>ROUND(SUM(G20:CQ20),0)</f>
        <v>0</v>
      </c>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31"/>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31"/>
      <c r="CC20" s="46"/>
      <c r="CD20" s="46"/>
      <c r="CE20" s="46"/>
      <c r="CF20" s="46"/>
      <c r="CG20" s="46"/>
      <c r="CH20" s="46"/>
      <c r="CI20" s="46"/>
      <c r="CJ20" s="46"/>
      <c r="CK20" s="46"/>
      <c r="CL20" s="46"/>
      <c r="CM20" s="46"/>
      <c r="CN20" s="46"/>
      <c r="CO20" s="46"/>
      <c r="CP20" s="46"/>
      <c r="CQ20" s="437"/>
      <c r="CR20" s="43" t="s">
        <v>700</v>
      </c>
    </row>
    <row r="21" spans="1:97" x14ac:dyDescent="0.2">
      <c r="C21" s="18"/>
      <c r="D21" s="18"/>
      <c r="E21" s="9"/>
      <c r="F21" s="23"/>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31"/>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31"/>
      <c r="CC21" s="46"/>
      <c r="CD21" s="46"/>
      <c r="CE21" s="46"/>
      <c r="CF21" s="46"/>
      <c r="CG21" s="46"/>
      <c r="CH21" s="46"/>
      <c r="CI21" s="46"/>
      <c r="CJ21" s="46"/>
      <c r="CK21" s="46"/>
      <c r="CL21" s="46"/>
      <c r="CM21" s="46"/>
      <c r="CN21" s="46"/>
      <c r="CO21" s="46"/>
      <c r="CP21" s="46"/>
      <c r="CQ21" s="437"/>
    </row>
    <row r="22" spans="1:97" ht="24" x14ac:dyDescent="0.2">
      <c r="C22" s="17" t="s">
        <v>664</v>
      </c>
      <c r="D22" s="17" t="s">
        <v>665</v>
      </c>
      <c r="E22" s="8">
        <v>8</v>
      </c>
      <c r="F22" s="54">
        <f ca="1">SUM(F13:F21)</f>
        <v>254516768217</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31"/>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31"/>
      <c r="CC22" s="46"/>
      <c r="CD22" s="46"/>
      <c r="CE22" s="46"/>
      <c r="CF22" s="46"/>
      <c r="CG22" s="46"/>
      <c r="CH22" s="46"/>
      <c r="CI22" s="46"/>
      <c r="CJ22" s="46"/>
      <c r="CK22" s="46"/>
      <c r="CL22" s="46"/>
      <c r="CM22" s="46"/>
      <c r="CN22" s="46"/>
      <c r="CO22" s="46"/>
      <c r="CP22" s="46"/>
      <c r="CQ22" s="437"/>
      <c r="CR22" s="43" t="s">
        <v>700</v>
      </c>
    </row>
    <row r="23" spans="1:97" x14ac:dyDescent="0.2">
      <c r="C23" s="17"/>
      <c r="D23" s="17"/>
      <c r="E23" s="9"/>
      <c r="F23" s="23"/>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31"/>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31"/>
      <c r="CC23" s="46"/>
      <c r="CD23" s="46"/>
      <c r="CE23" s="46"/>
      <c r="CF23" s="46"/>
      <c r="CG23" s="46"/>
      <c r="CH23" s="46"/>
      <c r="CI23" s="46"/>
      <c r="CJ23" s="46"/>
      <c r="CK23" s="46"/>
      <c r="CL23" s="46"/>
      <c r="CM23" s="46"/>
      <c r="CN23" s="46"/>
      <c r="CO23" s="46"/>
      <c r="CP23" s="46"/>
      <c r="CQ23" s="437"/>
      <c r="CR23" s="43" t="s">
        <v>700</v>
      </c>
    </row>
    <row r="24" spans="1:97" x14ac:dyDescent="0.2">
      <c r="C24" s="18" t="s">
        <v>593</v>
      </c>
      <c r="D24" s="18" t="s">
        <v>627</v>
      </c>
      <c r="E24" s="9">
        <v>9</v>
      </c>
      <c r="F24" s="23">
        <f ca="1">ROUND(SUM(G24:CQ24),0)</f>
        <v>8919636356</v>
      </c>
      <c r="G24" s="46"/>
      <c r="H24" s="46"/>
      <c r="I24" s="46"/>
      <c r="J24" s="46">
        <f ca="1">-J8</f>
        <v>9300000000</v>
      </c>
      <c r="K24" s="46"/>
      <c r="L24" s="46"/>
      <c r="M24" s="46"/>
      <c r="N24" s="46"/>
      <c r="O24" s="46"/>
      <c r="P24" s="46"/>
      <c r="Q24" s="46"/>
      <c r="R24" s="46"/>
      <c r="S24" s="46"/>
      <c r="T24" s="46"/>
      <c r="U24" s="46"/>
      <c r="V24" s="46">
        <f ca="1">-V8</f>
        <v>-380363644</v>
      </c>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31"/>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31"/>
      <c r="CC24" s="46"/>
      <c r="CD24" s="46"/>
      <c r="CE24" s="46"/>
      <c r="CF24" s="46"/>
      <c r="CG24" s="46"/>
      <c r="CH24" s="46"/>
      <c r="CI24" s="46"/>
      <c r="CJ24" s="46"/>
      <c r="CK24" s="46"/>
      <c r="CL24" s="46"/>
      <c r="CM24" s="46"/>
      <c r="CN24" s="46"/>
      <c r="CO24" s="46"/>
      <c r="CP24" s="46"/>
      <c r="CQ24" s="437"/>
      <c r="CR24" s="43" t="s">
        <v>700</v>
      </c>
    </row>
    <row r="25" spans="1:97" x14ac:dyDescent="0.2">
      <c r="C25" s="18" t="s">
        <v>594</v>
      </c>
      <c r="D25" s="18" t="s">
        <v>628</v>
      </c>
      <c r="E25" s="9">
        <v>10</v>
      </c>
      <c r="F25" s="23">
        <f>ROUND(SUM(G25:CQ25),0)</f>
        <v>0</v>
      </c>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31"/>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31"/>
      <c r="CC25" s="46"/>
      <c r="CD25" s="46"/>
      <c r="CE25" s="46"/>
      <c r="CF25" s="46"/>
      <c r="CG25" s="46"/>
      <c r="CH25" s="46"/>
      <c r="CI25" s="46"/>
      <c r="CJ25" s="46"/>
      <c r="CK25" s="46"/>
      <c r="CL25" s="46"/>
      <c r="CM25" s="46"/>
      <c r="CN25" s="46"/>
      <c r="CO25" s="46"/>
      <c r="CP25" s="46"/>
      <c r="CQ25" s="437"/>
      <c r="CR25" s="43" t="s">
        <v>700</v>
      </c>
    </row>
    <row r="26" spans="1:97" ht="24" x14ac:dyDescent="0.2">
      <c r="C26" s="18" t="s">
        <v>595</v>
      </c>
      <c r="D26" s="18" t="s">
        <v>629</v>
      </c>
      <c r="E26" s="9">
        <v>11</v>
      </c>
      <c r="F26" s="23">
        <f ca="1">ROUND(SUM(G26:CQ26),0)</f>
        <v>1582106432361</v>
      </c>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31"/>
      <c r="BA26" s="46"/>
      <c r="BB26" s="46">
        <f ca="1">-BB8</f>
        <v>99999999</v>
      </c>
      <c r="BC26" s="46">
        <f ca="1">-BC8-BC13-BC32</f>
        <v>-9290859479</v>
      </c>
      <c r="BD26" s="46"/>
      <c r="BE26" s="46">
        <f ca="1">-BE8-BE39-BE31</f>
        <v>-1683767647</v>
      </c>
      <c r="BF26" s="46"/>
      <c r="BG26" s="46"/>
      <c r="BH26" s="46"/>
      <c r="BI26" s="46"/>
      <c r="BJ26" s="46"/>
      <c r="BK26" s="46"/>
      <c r="BL26" s="46"/>
      <c r="BM26" s="46"/>
      <c r="BN26" s="46"/>
      <c r="BO26" s="46"/>
      <c r="BP26" s="46"/>
      <c r="BQ26" s="46"/>
      <c r="BR26" s="46"/>
      <c r="BS26" s="46"/>
      <c r="BT26" s="46"/>
      <c r="BU26" s="46">
        <f ca="1">-BU8</f>
        <v>1592981059488</v>
      </c>
      <c r="BV26" s="46"/>
      <c r="BW26" s="46"/>
      <c r="BX26" s="46"/>
      <c r="BY26" s="46"/>
      <c r="BZ26" s="46"/>
      <c r="CA26" s="46"/>
      <c r="CB26" s="31"/>
      <c r="CC26" s="46"/>
      <c r="CD26" s="46"/>
      <c r="CE26" s="46"/>
      <c r="CF26" s="46"/>
      <c r="CG26" s="46"/>
      <c r="CH26" s="46"/>
      <c r="CI26" s="46"/>
      <c r="CJ26" s="46"/>
      <c r="CK26" s="46"/>
      <c r="CL26" s="46"/>
      <c r="CM26" s="46"/>
      <c r="CN26" s="46"/>
      <c r="CO26" s="46"/>
      <c r="CP26" s="46"/>
      <c r="CQ26" s="437"/>
      <c r="CR26" s="43" t="s">
        <v>700</v>
      </c>
    </row>
    <row r="27" spans="1:97" x14ac:dyDescent="0.2">
      <c r="C27" s="18" t="s">
        <v>596</v>
      </c>
      <c r="D27" s="18" t="s">
        <v>630</v>
      </c>
      <c r="E27" s="9">
        <v>12</v>
      </c>
      <c r="F27" s="23">
        <f>ROUND(SUM(G27:CQ27),0)</f>
        <v>0</v>
      </c>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31"/>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31"/>
      <c r="CC27" s="46"/>
      <c r="CD27" s="46"/>
      <c r="CE27" s="46"/>
      <c r="CF27" s="46"/>
      <c r="CG27" s="46"/>
      <c r="CH27" s="46"/>
      <c r="CI27" s="46"/>
      <c r="CJ27" s="46"/>
      <c r="CK27" s="46"/>
      <c r="CL27" s="46"/>
      <c r="CM27" s="46"/>
      <c r="CN27" s="46"/>
      <c r="CO27" s="46"/>
      <c r="CP27" s="46"/>
      <c r="CQ27" s="437"/>
      <c r="CR27" s="43" t="s">
        <v>700</v>
      </c>
    </row>
    <row r="28" spans="1:97" x14ac:dyDescent="0.2">
      <c r="C28" s="18" t="s">
        <v>597</v>
      </c>
      <c r="D28" s="18" t="s">
        <v>631</v>
      </c>
      <c r="E28" s="9">
        <v>13</v>
      </c>
      <c r="F28" s="23">
        <f>ROUND(SUM(G28:CQ28),0)</f>
        <v>0</v>
      </c>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31"/>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31"/>
      <c r="CC28" s="46"/>
      <c r="CD28" s="46"/>
      <c r="CE28" s="46"/>
      <c r="CF28" s="46"/>
      <c r="CG28" s="46"/>
      <c r="CH28" s="46"/>
      <c r="CI28" s="46"/>
      <c r="CJ28" s="46"/>
      <c r="CK28" s="46"/>
      <c r="CL28" s="46"/>
      <c r="CM28" s="46"/>
      <c r="CN28" s="46"/>
      <c r="CO28" s="46"/>
      <c r="CP28" s="46"/>
      <c r="CQ28" s="437"/>
      <c r="CR28" s="43" t="s">
        <v>700</v>
      </c>
    </row>
    <row r="29" spans="1:97" ht="12.75" thickBot="1" x14ac:dyDescent="0.25">
      <c r="C29" s="18"/>
      <c r="D29" s="18"/>
      <c r="E29" s="9"/>
      <c r="F29" s="24"/>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31"/>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31"/>
      <c r="CC29" s="46"/>
      <c r="CD29" s="46"/>
      <c r="CE29" s="46"/>
      <c r="CF29" s="46"/>
      <c r="CG29" s="46"/>
      <c r="CH29" s="46"/>
      <c r="CI29" s="46"/>
      <c r="CJ29" s="46"/>
      <c r="CK29" s="46"/>
      <c r="CL29" s="46"/>
      <c r="CM29" s="46"/>
      <c r="CN29" s="46"/>
      <c r="CO29" s="46"/>
      <c r="CP29" s="46"/>
      <c r="CQ29" s="437"/>
      <c r="CR29" s="43" t="s">
        <v>700</v>
      </c>
    </row>
    <row r="30" spans="1:97" x14ac:dyDescent="0.2">
      <c r="C30" s="17"/>
      <c r="D30" s="17"/>
      <c r="E30" s="8"/>
      <c r="F30" s="54">
        <f ca="1">SUM(F22:F29)</f>
        <v>1845542836934</v>
      </c>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31"/>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31"/>
      <c r="CC30" s="46"/>
      <c r="CD30" s="46"/>
      <c r="CE30" s="46"/>
      <c r="CF30" s="46"/>
      <c r="CG30" s="46"/>
      <c r="CH30" s="46"/>
      <c r="CI30" s="46"/>
      <c r="CJ30" s="46"/>
      <c r="CK30" s="46"/>
      <c r="CL30" s="46"/>
      <c r="CM30" s="46"/>
      <c r="CN30" s="46"/>
      <c r="CO30" s="46"/>
      <c r="CP30" s="46"/>
      <c r="CQ30" s="437"/>
      <c r="CR30" s="43" t="s">
        <v>700</v>
      </c>
    </row>
    <row r="31" spans="1:97" x14ac:dyDescent="0.2">
      <c r="A31" s="438" t="b">
        <f t="shared" ref="A31:A32" ca="1" si="7">B31=F31</f>
        <v>1</v>
      </c>
      <c r="B31" s="48">
        <f ca="1">-Thuyet_Minh!C298-Thuyet_Minh!D138+Thuyet_Minh!C138</f>
        <v>-900000000</v>
      </c>
      <c r="C31" s="18" t="s">
        <v>598</v>
      </c>
      <c r="D31" s="18" t="s">
        <v>632</v>
      </c>
      <c r="E31" s="9">
        <v>14</v>
      </c>
      <c r="F31" s="23">
        <f ca="1">ROUND(SUM(G31:CQ31),0)</f>
        <v>-900000000</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31"/>
      <c r="BA31" s="46"/>
      <c r="BB31" s="46"/>
      <c r="BC31" s="46"/>
      <c r="BD31" s="46"/>
      <c r="BE31" s="46">
        <f>Thuyet_Minh!C138-Thuyet_Minh!D138</f>
        <v>300000000</v>
      </c>
      <c r="BF31" s="46"/>
      <c r="BG31" s="46"/>
      <c r="BH31" s="46"/>
      <c r="BI31" s="46"/>
      <c r="BJ31" s="46"/>
      <c r="BK31" s="46"/>
      <c r="BL31" s="46"/>
      <c r="BM31" s="46"/>
      <c r="BN31" s="46"/>
      <c r="BO31" s="46"/>
      <c r="BP31" s="46"/>
      <c r="BQ31" s="46"/>
      <c r="BR31" s="46"/>
      <c r="BS31" s="46"/>
      <c r="BT31" s="46"/>
      <c r="BU31" s="46"/>
      <c r="BV31" s="46"/>
      <c r="BW31" s="46"/>
      <c r="BX31" s="46"/>
      <c r="BY31" s="46"/>
      <c r="BZ31" s="46"/>
      <c r="CA31" s="46"/>
      <c r="CB31" s="31"/>
      <c r="CC31" s="46"/>
      <c r="CD31" s="46"/>
      <c r="CE31" s="46"/>
      <c r="CF31" s="46"/>
      <c r="CG31" s="46"/>
      <c r="CH31" s="46"/>
      <c r="CI31" s="46"/>
      <c r="CJ31" s="46"/>
      <c r="CK31" s="46"/>
      <c r="CL31" s="46">
        <f ca="1">-CL19</f>
        <v>-1200000000</v>
      </c>
      <c r="CM31" s="46"/>
      <c r="CN31" s="46"/>
      <c r="CO31" s="46"/>
      <c r="CP31" s="46"/>
      <c r="CQ31" s="437"/>
      <c r="CR31" s="43" t="s">
        <v>700</v>
      </c>
    </row>
    <row r="32" spans="1:97" x14ac:dyDescent="0.2">
      <c r="A32" s="438" t="b">
        <f t="shared" si="7"/>
        <v>1</v>
      </c>
      <c r="B32" s="48">
        <f>Thuyet_Minh!F225</f>
        <v>-4543595647</v>
      </c>
      <c r="C32" s="18" t="s">
        <v>599</v>
      </c>
      <c r="D32" s="18" t="s">
        <v>633</v>
      </c>
      <c r="E32" s="9">
        <v>15</v>
      </c>
      <c r="F32" s="23">
        <f>ROUND(SUM(G32:CQ32),0)</f>
        <v>-4543595647</v>
      </c>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31"/>
      <c r="BA32" s="46"/>
      <c r="BB32" s="46"/>
      <c r="BC32" s="46">
        <f>Thuyet_Minh!F225</f>
        <v>-4543595647</v>
      </c>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31"/>
      <c r="CC32" s="46"/>
      <c r="CD32" s="46"/>
      <c r="CE32" s="46"/>
      <c r="CF32" s="46"/>
      <c r="CG32" s="46"/>
      <c r="CH32" s="46"/>
      <c r="CI32" s="46"/>
      <c r="CJ32" s="46"/>
      <c r="CK32" s="46"/>
      <c r="CL32" s="46"/>
      <c r="CM32" s="46"/>
      <c r="CN32" s="46"/>
      <c r="CO32" s="46"/>
      <c r="CP32" s="46"/>
      <c r="CQ32" s="437"/>
      <c r="CR32" s="43" t="s">
        <v>700</v>
      </c>
    </row>
    <row r="33" spans="1:96" x14ac:dyDescent="0.2">
      <c r="C33" s="18" t="s">
        <v>600</v>
      </c>
      <c r="D33" s="18" t="s">
        <v>634</v>
      </c>
      <c r="E33" s="9">
        <v>16</v>
      </c>
      <c r="F33" s="23">
        <f>ROUND(SUM(G33:CQ33),0)</f>
        <v>0</v>
      </c>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31"/>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31"/>
      <c r="CC33" s="46"/>
      <c r="CD33" s="46"/>
      <c r="CE33" s="46"/>
      <c r="CF33" s="46"/>
      <c r="CG33" s="46"/>
      <c r="CH33" s="46"/>
      <c r="CI33" s="46"/>
      <c r="CJ33" s="46"/>
      <c r="CK33" s="46"/>
      <c r="CL33" s="46"/>
      <c r="CM33" s="46"/>
      <c r="CN33" s="46"/>
      <c r="CO33" s="46"/>
      <c r="CP33" s="46"/>
      <c r="CQ33" s="437"/>
      <c r="CR33" s="43" t="s">
        <v>700</v>
      </c>
    </row>
    <row r="34" spans="1:96" x14ac:dyDescent="0.2">
      <c r="C34" s="18" t="s">
        <v>601</v>
      </c>
      <c r="D34" s="18" t="s">
        <v>635</v>
      </c>
      <c r="E34" s="9">
        <v>17</v>
      </c>
      <c r="F34" s="23">
        <f>ROUND(SUM(G34:CQ34),0)</f>
        <v>0</v>
      </c>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31"/>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31"/>
      <c r="CC34" s="46"/>
      <c r="CD34" s="46"/>
      <c r="CE34" s="46"/>
      <c r="CF34" s="46"/>
      <c r="CG34" s="46"/>
      <c r="CH34" s="46"/>
      <c r="CI34" s="46"/>
      <c r="CJ34" s="46"/>
      <c r="CK34" s="46"/>
      <c r="CL34" s="46"/>
      <c r="CM34" s="46"/>
      <c r="CN34" s="46"/>
      <c r="CO34" s="46"/>
      <c r="CP34" s="46"/>
      <c r="CQ34" s="437"/>
      <c r="CR34" s="43" t="s">
        <v>700</v>
      </c>
    </row>
    <row r="35" spans="1:96" ht="12.75" thickBot="1" x14ac:dyDescent="0.25">
      <c r="C35" s="18"/>
      <c r="D35" s="18"/>
      <c r="E35" s="9"/>
      <c r="F35" s="24"/>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31"/>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31"/>
      <c r="CC35" s="46"/>
      <c r="CD35" s="46"/>
      <c r="CE35" s="46"/>
      <c r="CF35" s="46"/>
      <c r="CG35" s="46"/>
      <c r="CH35" s="46"/>
      <c r="CI35" s="46"/>
      <c r="CJ35" s="46"/>
      <c r="CK35" s="46"/>
      <c r="CL35" s="46"/>
      <c r="CM35" s="46"/>
      <c r="CN35" s="46"/>
      <c r="CO35" s="46"/>
      <c r="CP35" s="46"/>
      <c r="CQ35" s="437"/>
      <c r="CR35" s="43" t="s">
        <v>700</v>
      </c>
    </row>
    <row r="36" spans="1:96" ht="24.75" thickBot="1" x14ac:dyDescent="0.25">
      <c r="C36" s="17" t="s">
        <v>602</v>
      </c>
      <c r="D36" s="17" t="s">
        <v>636</v>
      </c>
      <c r="E36" s="8">
        <v>20</v>
      </c>
      <c r="F36" s="55">
        <f ca="1">SUM(F30:F35)</f>
        <v>1840099241287</v>
      </c>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31"/>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31"/>
      <c r="CC36" s="46"/>
      <c r="CD36" s="46"/>
      <c r="CE36" s="46"/>
      <c r="CF36" s="46"/>
      <c r="CG36" s="46"/>
      <c r="CH36" s="46"/>
      <c r="CI36" s="46"/>
      <c r="CJ36" s="46"/>
      <c r="CK36" s="46"/>
      <c r="CL36" s="46"/>
      <c r="CM36" s="46"/>
      <c r="CN36" s="46"/>
      <c r="CO36" s="46"/>
      <c r="CP36" s="46"/>
      <c r="CQ36" s="437"/>
      <c r="CR36" s="43" t="s">
        <v>700</v>
      </c>
    </row>
    <row r="37" spans="1:96" x14ac:dyDescent="0.2">
      <c r="C37" s="27"/>
      <c r="D37" s="27"/>
      <c r="E37" s="9"/>
      <c r="F37" s="23"/>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31"/>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31"/>
      <c r="CC37" s="46"/>
      <c r="CD37" s="46"/>
      <c r="CE37" s="46"/>
      <c r="CF37" s="46"/>
      <c r="CG37" s="46"/>
      <c r="CH37" s="46"/>
      <c r="CI37" s="46"/>
      <c r="CJ37" s="46"/>
      <c r="CK37" s="46"/>
      <c r="CL37" s="46"/>
      <c r="CM37" s="46"/>
      <c r="CN37" s="46"/>
      <c r="CO37" s="46"/>
      <c r="CP37" s="46"/>
      <c r="CQ37" s="437"/>
      <c r="CR37" s="43" t="s">
        <v>700</v>
      </c>
    </row>
    <row r="38" spans="1:96" ht="42.75" customHeight="1" x14ac:dyDescent="0.2">
      <c r="C38" s="17" t="s">
        <v>603</v>
      </c>
      <c r="D38" s="17" t="s">
        <v>637</v>
      </c>
      <c r="E38" s="7"/>
      <c r="F38" s="23"/>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31"/>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31"/>
      <c r="CC38" s="46"/>
      <c r="CD38" s="46"/>
      <c r="CE38" s="46"/>
      <c r="CF38" s="46"/>
      <c r="CG38" s="46"/>
      <c r="CH38" s="46"/>
      <c r="CI38" s="46"/>
      <c r="CJ38" s="46"/>
      <c r="CK38" s="46"/>
      <c r="CL38" s="46"/>
      <c r="CM38" s="46"/>
      <c r="CN38" s="46"/>
      <c r="CO38" s="46"/>
      <c r="CP38" s="46"/>
      <c r="CQ38" s="437"/>
      <c r="CR38" s="43" t="s">
        <v>700</v>
      </c>
    </row>
    <row r="39" spans="1:96" ht="24" x14ac:dyDescent="0.2">
      <c r="A39" s="438" t="b">
        <f t="shared" ref="A39:A46" ca="1" si="8">B39=F39</f>
        <v>1</v>
      </c>
      <c r="B39" s="48">
        <f ca="1">F39</f>
        <v>-54063487923</v>
      </c>
      <c r="C39" s="18" t="s">
        <v>604</v>
      </c>
      <c r="D39" s="18" t="s">
        <v>638</v>
      </c>
      <c r="E39" s="9">
        <v>21</v>
      </c>
      <c r="F39" s="23">
        <f t="shared" ref="F39:F48" ca="1" si="9">ROUND(SUM(G39:CQ39),0)</f>
        <v>-54063487923</v>
      </c>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f>-Thuyet_Minh!G57</f>
        <v>-3763487923</v>
      </c>
      <c r="AM39" s="46"/>
      <c r="AN39" s="46"/>
      <c r="AO39" s="46">
        <f ca="1">-AO8</f>
        <v>-120000000000</v>
      </c>
      <c r="AP39" s="46"/>
      <c r="AQ39" s="46"/>
      <c r="AR39" s="46"/>
      <c r="AS39" s="46"/>
      <c r="AT39" s="46"/>
      <c r="AU39" s="46"/>
      <c r="AV39" s="46"/>
      <c r="AW39" s="46"/>
      <c r="AX39" s="46"/>
      <c r="AY39" s="46"/>
      <c r="AZ39" s="31"/>
      <c r="BA39" s="46">
        <f ca="1">+Thuyet_Minh!C128-Thuyet_Minh!E128</f>
        <v>62000000000</v>
      </c>
      <c r="BB39" s="46"/>
      <c r="BC39" s="46"/>
      <c r="BD39" s="46"/>
      <c r="BE39" s="46">
        <f ca="1">Thuyet_Minh!C137-Thuyet_Minh!D137</f>
        <v>7700000000</v>
      </c>
      <c r="BF39" s="46"/>
      <c r="BG39" s="46"/>
      <c r="BH39" s="46"/>
      <c r="BI39" s="46"/>
      <c r="BJ39" s="46"/>
      <c r="BK39" s="46"/>
      <c r="BL39" s="46"/>
      <c r="BM39" s="46"/>
      <c r="BN39" s="46"/>
      <c r="BO39" s="46"/>
      <c r="BP39" s="46"/>
      <c r="BQ39" s="46"/>
      <c r="BR39" s="46"/>
      <c r="BS39" s="46"/>
      <c r="BT39" s="46"/>
      <c r="BU39" s="46"/>
      <c r="BV39" s="46"/>
      <c r="BW39" s="46"/>
      <c r="BX39" s="46"/>
      <c r="BY39" s="46"/>
      <c r="BZ39" s="46"/>
      <c r="CA39" s="46"/>
      <c r="CB39" s="31"/>
      <c r="CC39" s="46"/>
      <c r="CD39" s="46"/>
      <c r="CE39" s="46"/>
      <c r="CF39" s="46"/>
      <c r="CG39" s="46"/>
      <c r="CH39" s="46"/>
      <c r="CI39" s="46"/>
      <c r="CJ39" s="46"/>
      <c r="CK39" s="46"/>
      <c r="CL39" s="46"/>
      <c r="CM39" s="46"/>
      <c r="CN39" s="46"/>
      <c r="CO39" s="46"/>
      <c r="CP39" s="46"/>
      <c r="CQ39" s="437"/>
      <c r="CR39" s="43" t="s">
        <v>700</v>
      </c>
    </row>
    <row r="40" spans="1:96" ht="24" x14ac:dyDescent="0.2">
      <c r="C40" s="18" t="s">
        <v>605</v>
      </c>
      <c r="D40" s="18" t="s">
        <v>639</v>
      </c>
      <c r="E40" s="9">
        <v>22</v>
      </c>
      <c r="F40" s="23">
        <f t="shared" si="9"/>
        <v>0</v>
      </c>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31"/>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31"/>
      <c r="CC40" s="46"/>
      <c r="CD40" s="46"/>
      <c r="CE40" s="46"/>
      <c r="CF40" s="46"/>
      <c r="CG40" s="46"/>
      <c r="CH40" s="46"/>
      <c r="CI40" s="46"/>
      <c r="CJ40" s="46"/>
      <c r="CK40" s="46"/>
      <c r="CL40" s="46"/>
      <c r="CM40" s="46"/>
      <c r="CN40" s="46"/>
      <c r="CO40" s="46"/>
      <c r="CP40" s="46"/>
      <c r="CQ40" s="437"/>
      <c r="CR40" s="43" t="s">
        <v>700</v>
      </c>
    </row>
    <row r="41" spans="1:96" ht="24" x14ac:dyDescent="0.2">
      <c r="C41" s="18" t="s">
        <v>606</v>
      </c>
      <c r="D41" s="18" t="s">
        <v>640</v>
      </c>
      <c r="E41" s="9">
        <v>23</v>
      </c>
      <c r="F41" s="23">
        <f t="shared" si="9"/>
        <v>0</v>
      </c>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31"/>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31"/>
      <c r="CC41" s="46"/>
      <c r="CD41" s="46"/>
      <c r="CE41" s="46"/>
      <c r="CF41" s="46"/>
      <c r="CG41" s="46"/>
      <c r="CH41" s="46"/>
      <c r="CI41" s="46"/>
      <c r="CJ41" s="46"/>
      <c r="CK41" s="46"/>
      <c r="CL41" s="46"/>
      <c r="CM41" s="46"/>
      <c r="CN41" s="46"/>
      <c r="CO41" s="46"/>
      <c r="CP41" s="46"/>
      <c r="CQ41" s="437"/>
      <c r="CR41" s="43" t="s">
        <v>700</v>
      </c>
    </row>
    <row r="42" spans="1:96" ht="24" x14ac:dyDescent="0.2">
      <c r="C42" s="18" t="s">
        <v>607</v>
      </c>
      <c r="D42" s="18" t="s">
        <v>641</v>
      </c>
      <c r="E42" s="9">
        <v>24</v>
      </c>
      <c r="F42" s="23">
        <f t="shared" si="9"/>
        <v>0</v>
      </c>
      <c r="G42" s="46"/>
      <c r="H42" s="46"/>
      <c r="I42" s="46"/>
      <c r="J42" s="46"/>
      <c r="K42" s="46"/>
      <c r="L42" s="46"/>
      <c r="M42" s="46"/>
      <c r="N42" s="48"/>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31"/>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31"/>
      <c r="CC42" s="46"/>
      <c r="CD42" s="46"/>
      <c r="CE42" s="46"/>
      <c r="CF42" s="46"/>
      <c r="CG42" s="46"/>
      <c r="CH42" s="46"/>
      <c r="CI42" s="46"/>
      <c r="CJ42" s="46"/>
      <c r="CK42" s="46"/>
      <c r="CL42" s="46"/>
      <c r="CM42" s="46"/>
      <c r="CN42" s="46"/>
      <c r="CO42" s="46"/>
      <c r="CP42" s="46"/>
      <c r="CQ42" s="437"/>
      <c r="CR42" s="43" t="s">
        <v>700</v>
      </c>
    </row>
    <row r="43" spans="1:96" x14ac:dyDescent="0.2">
      <c r="A43" s="438" t="b">
        <f t="shared" ca="1" si="8"/>
        <v>1</v>
      </c>
      <c r="B43" s="48">
        <f ca="1">F43</f>
        <v>-1841300000000</v>
      </c>
      <c r="C43" s="18" t="s">
        <v>608</v>
      </c>
      <c r="D43" s="18" t="s">
        <v>642</v>
      </c>
      <c r="E43" s="9">
        <v>25</v>
      </c>
      <c r="F43" s="23">
        <f t="shared" ca="1" si="9"/>
        <v>-1841300000000</v>
      </c>
      <c r="G43" s="46"/>
      <c r="H43" s="46"/>
      <c r="I43" s="46"/>
      <c r="J43" s="46"/>
      <c r="K43" s="46"/>
      <c r="L43" s="46"/>
      <c r="M43" s="46"/>
      <c r="N43" s="48"/>
      <c r="O43" s="46"/>
      <c r="P43" s="46"/>
      <c r="Q43" s="46"/>
      <c r="R43" s="46"/>
      <c r="S43" s="46"/>
      <c r="T43" s="46"/>
      <c r="U43" s="46"/>
      <c r="V43" s="46"/>
      <c r="W43" s="46"/>
      <c r="X43" s="46"/>
      <c r="Y43" s="46"/>
      <c r="Z43" s="46"/>
      <c r="AA43" s="46"/>
      <c r="AB43" s="46"/>
      <c r="AC43" s="46"/>
      <c r="AD43" s="46">
        <f ca="1">-AD8</f>
        <v>-1841300000000</v>
      </c>
      <c r="AE43" s="46"/>
      <c r="AF43" s="46"/>
      <c r="AG43" s="46"/>
      <c r="AH43" s="46"/>
      <c r="AI43" s="46"/>
      <c r="AJ43" s="46"/>
      <c r="AK43" s="46"/>
      <c r="AL43" s="46"/>
      <c r="AM43" s="46"/>
      <c r="AN43" s="46"/>
      <c r="AO43" s="46"/>
      <c r="AP43" s="46"/>
      <c r="AQ43" s="46"/>
      <c r="AR43" s="46"/>
      <c r="AS43" s="46"/>
      <c r="AT43" s="46"/>
      <c r="AU43" s="46"/>
      <c r="AV43" s="46"/>
      <c r="AW43" s="46"/>
      <c r="AX43" s="46"/>
      <c r="AY43" s="46"/>
      <c r="AZ43" s="31"/>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31"/>
      <c r="CC43" s="46"/>
      <c r="CD43" s="46"/>
      <c r="CE43" s="46"/>
      <c r="CF43" s="46"/>
      <c r="CG43" s="46"/>
      <c r="CH43" s="46"/>
      <c r="CI43" s="46"/>
      <c r="CJ43" s="46"/>
      <c r="CK43" s="46"/>
      <c r="CL43" s="46"/>
      <c r="CM43" s="46"/>
      <c r="CN43" s="46"/>
      <c r="CO43" s="46"/>
      <c r="CP43" s="46"/>
      <c r="CQ43" s="437"/>
      <c r="CR43" s="43" t="s">
        <v>700</v>
      </c>
    </row>
    <row r="44" spans="1:96" ht="24" x14ac:dyDescent="0.2">
      <c r="C44" s="18" t="s">
        <v>609</v>
      </c>
      <c r="D44" s="18" t="s">
        <v>643</v>
      </c>
      <c r="E44" s="9">
        <v>26</v>
      </c>
      <c r="F44" s="23">
        <f t="shared" si="9"/>
        <v>0</v>
      </c>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31"/>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31"/>
      <c r="CC44" s="46"/>
      <c r="CD44" s="46"/>
      <c r="CE44" s="46"/>
      <c r="CF44" s="46"/>
      <c r="CG44" s="46"/>
      <c r="CH44" s="46"/>
      <c r="CI44" s="46"/>
      <c r="CJ44" s="46"/>
      <c r="CK44" s="46"/>
      <c r="CL44" s="46"/>
      <c r="CM44" s="46"/>
      <c r="CN44" s="46"/>
      <c r="CO44" s="46"/>
      <c r="CP44" s="46"/>
      <c r="CQ44" s="437"/>
      <c r="CR44" s="43" t="s">
        <v>700</v>
      </c>
    </row>
    <row r="45" spans="1:96" x14ac:dyDescent="0.2">
      <c r="A45" s="438" t="b">
        <f t="shared" ca="1" si="8"/>
        <v>1</v>
      </c>
      <c r="B45" s="48">
        <f ca="1">BC_KQKD!F15</f>
        <v>131691</v>
      </c>
      <c r="C45" s="18" t="s">
        <v>610</v>
      </c>
      <c r="D45" s="18" t="s">
        <v>666</v>
      </c>
      <c r="E45" s="9">
        <v>27</v>
      </c>
      <c r="F45" s="23">
        <f t="shared" ca="1" si="9"/>
        <v>131691</v>
      </c>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31"/>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31"/>
      <c r="CC45" s="46"/>
      <c r="CD45" s="46"/>
      <c r="CE45" s="46"/>
      <c r="CF45" s="46"/>
      <c r="CG45" s="46"/>
      <c r="CH45" s="46"/>
      <c r="CI45" s="46"/>
      <c r="CJ45" s="46"/>
      <c r="CK45" s="46"/>
      <c r="CL45" s="46">
        <f ca="1">-CL18</f>
        <v>131691</v>
      </c>
      <c r="CM45" s="46"/>
      <c r="CN45" s="46"/>
      <c r="CO45" s="46"/>
      <c r="CP45" s="46"/>
      <c r="CQ45" s="437"/>
      <c r="CR45" s="43" t="s">
        <v>700</v>
      </c>
    </row>
    <row r="46" spans="1:96" ht="24" x14ac:dyDescent="0.2">
      <c r="C46" s="18" t="s">
        <v>611</v>
      </c>
      <c r="D46" s="18" t="s">
        <v>644</v>
      </c>
      <c r="E46" s="9"/>
      <c r="F46" s="23">
        <f t="shared" si="9"/>
        <v>0</v>
      </c>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31"/>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31"/>
      <c r="CC46" s="46"/>
      <c r="CD46" s="46"/>
      <c r="CE46" s="46"/>
      <c r="CF46" s="46"/>
      <c r="CG46" s="46"/>
      <c r="CH46" s="46"/>
      <c r="CI46" s="46"/>
      <c r="CJ46" s="46"/>
      <c r="CK46" s="46"/>
      <c r="CL46" s="46"/>
      <c r="CM46" s="46"/>
      <c r="CN46" s="46"/>
      <c r="CO46" s="46"/>
      <c r="CP46" s="46"/>
      <c r="CQ46" s="437"/>
      <c r="CR46" s="43" t="s">
        <v>700</v>
      </c>
    </row>
    <row r="47" spans="1:96" x14ac:dyDescent="0.2">
      <c r="C47" s="18"/>
      <c r="D47" s="18"/>
      <c r="E47" s="9"/>
      <c r="F47" s="23"/>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31"/>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31"/>
      <c r="CC47" s="46"/>
      <c r="CD47" s="46"/>
      <c r="CE47" s="46"/>
      <c r="CF47" s="46"/>
      <c r="CG47" s="46"/>
      <c r="CH47" s="46"/>
      <c r="CI47" s="46"/>
      <c r="CJ47" s="46"/>
      <c r="CK47" s="46"/>
      <c r="CL47" s="46"/>
      <c r="CM47" s="46"/>
      <c r="CN47" s="46"/>
      <c r="CO47" s="46"/>
      <c r="CP47" s="46"/>
      <c r="CQ47" s="437"/>
      <c r="CR47" s="43" t="s">
        <v>700</v>
      </c>
    </row>
    <row r="48" spans="1:96" x14ac:dyDescent="0.2">
      <c r="C48" s="18" t="s">
        <v>725</v>
      </c>
      <c r="D48" s="18"/>
      <c r="E48" s="9"/>
      <c r="F48" s="23">
        <f t="shared" si="9"/>
        <v>0</v>
      </c>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31"/>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31"/>
      <c r="CC48" s="46"/>
      <c r="CD48" s="46"/>
      <c r="CE48" s="46"/>
      <c r="CF48" s="46"/>
      <c r="CG48" s="46"/>
      <c r="CH48" s="46"/>
      <c r="CI48" s="46"/>
      <c r="CJ48" s="46"/>
      <c r="CK48" s="46"/>
      <c r="CL48" s="46"/>
      <c r="CM48" s="46"/>
      <c r="CN48" s="46"/>
      <c r="CO48" s="46"/>
      <c r="CP48" s="46"/>
      <c r="CQ48" s="437"/>
      <c r="CR48" s="43" t="s">
        <v>700</v>
      </c>
    </row>
    <row r="49" spans="1:96" ht="12.75" thickBot="1" x14ac:dyDescent="0.25">
      <c r="C49" s="18"/>
      <c r="D49" s="18"/>
      <c r="E49" s="9"/>
      <c r="F49" s="24"/>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31"/>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31"/>
      <c r="CC49" s="46"/>
      <c r="CD49" s="46"/>
      <c r="CE49" s="46"/>
      <c r="CF49" s="46"/>
      <c r="CG49" s="46"/>
      <c r="CH49" s="46"/>
      <c r="CI49" s="46"/>
      <c r="CJ49" s="46"/>
      <c r="CK49" s="46"/>
      <c r="CL49" s="46"/>
      <c r="CM49" s="46"/>
      <c r="CN49" s="46"/>
      <c r="CO49" s="46"/>
      <c r="CP49" s="46"/>
      <c r="CQ49" s="437"/>
      <c r="CR49" s="43" t="s">
        <v>700</v>
      </c>
    </row>
    <row r="50" spans="1:96" ht="24.75" thickBot="1" x14ac:dyDescent="0.25">
      <c r="C50" s="17" t="s">
        <v>612</v>
      </c>
      <c r="D50" s="17" t="s">
        <v>645</v>
      </c>
      <c r="E50" s="8">
        <v>30</v>
      </c>
      <c r="F50" s="55">
        <f ca="1">SUM(F39:F49)</f>
        <v>-1895363356232</v>
      </c>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31"/>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31"/>
      <c r="CC50" s="46"/>
      <c r="CD50" s="46"/>
      <c r="CE50" s="46"/>
      <c r="CF50" s="46"/>
      <c r="CG50" s="46"/>
      <c r="CH50" s="46"/>
      <c r="CI50" s="46"/>
      <c r="CJ50" s="46"/>
      <c r="CK50" s="46"/>
      <c r="CL50" s="46"/>
      <c r="CM50" s="46"/>
      <c r="CN50" s="46"/>
      <c r="CO50" s="46"/>
      <c r="CP50" s="46"/>
      <c r="CQ50" s="437"/>
      <c r="CR50" s="43" t="s">
        <v>700</v>
      </c>
    </row>
    <row r="51" spans="1:96" x14ac:dyDescent="0.2">
      <c r="C51" s="18"/>
      <c r="D51" s="18"/>
      <c r="E51" s="9"/>
      <c r="F51" s="23"/>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31"/>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31"/>
      <c r="CC51" s="46"/>
      <c r="CD51" s="46"/>
      <c r="CE51" s="46"/>
      <c r="CF51" s="46"/>
      <c r="CG51" s="46"/>
      <c r="CH51" s="46"/>
      <c r="CI51" s="46"/>
      <c r="CJ51" s="46"/>
      <c r="CK51" s="46"/>
      <c r="CL51" s="46"/>
      <c r="CM51" s="46"/>
      <c r="CN51" s="46"/>
      <c r="CO51" s="46"/>
      <c r="CP51" s="46"/>
      <c r="CQ51" s="437"/>
      <c r="CR51" s="43" t="s">
        <v>700</v>
      </c>
    </row>
    <row r="52" spans="1:96" ht="42.75" customHeight="1" x14ac:dyDescent="0.2">
      <c r="C52" s="17" t="s">
        <v>613</v>
      </c>
      <c r="D52" s="17" t="s">
        <v>646</v>
      </c>
      <c r="E52" s="7"/>
      <c r="F52" s="23"/>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31"/>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31"/>
      <c r="CC52" s="46"/>
      <c r="CD52" s="46"/>
      <c r="CE52" s="46"/>
      <c r="CF52" s="46"/>
      <c r="CG52" s="46"/>
      <c r="CH52" s="46"/>
      <c r="CI52" s="46"/>
      <c r="CJ52" s="46"/>
      <c r="CK52" s="46"/>
      <c r="CL52" s="46"/>
      <c r="CM52" s="46"/>
      <c r="CN52" s="46"/>
      <c r="CO52" s="46"/>
      <c r="CP52" s="46"/>
      <c r="CQ52" s="437"/>
      <c r="CR52" s="43" t="s">
        <v>700</v>
      </c>
    </row>
    <row r="53" spans="1:96" ht="24" x14ac:dyDescent="0.2">
      <c r="C53" s="18" t="s">
        <v>614</v>
      </c>
      <c r="D53" s="18" t="s">
        <v>647</v>
      </c>
      <c r="E53" s="9">
        <v>31</v>
      </c>
      <c r="F53" s="23">
        <f t="shared" ref="F53:F57" si="10">ROUND(SUM(G53:CQ53),0)</f>
        <v>0</v>
      </c>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31"/>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31"/>
      <c r="CC53" s="46"/>
      <c r="CD53" s="46"/>
      <c r="CE53" s="46"/>
      <c r="CF53" s="46"/>
      <c r="CG53" s="46"/>
      <c r="CH53" s="46"/>
      <c r="CI53" s="46"/>
      <c r="CJ53" s="46"/>
      <c r="CK53" s="46"/>
      <c r="CL53" s="46"/>
      <c r="CM53" s="46"/>
      <c r="CN53" s="46"/>
      <c r="CO53" s="46"/>
      <c r="CP53" s="46"/>
      <c r="CQ53" s="437"/>
      <c r="CR53" s="43" t="s">
        <v>700</v>
      </c>
    </row>
    <row r="54" spans="1:96" ht="24" x14ac:dyDescent="0.2">
      <c r="C54" s="18" t="s">
        <v>615</v>
      </c>
      <c r="D54" s="18" t="s">
        <v>648</v>
      </c>
      <c r="E54" s="9">
        <v>32</v>
      </c>
      <c r="F54" s="23">
        <f t="shared" si="10"/>
        <v>0</v>
      </c>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31"/>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31"/>
      <c r="CC54" s="46"/>
      <c r="CD54" s="46"/>
      <c r="CE54" s="46"/>
      <c r="CF54" s="46"/>
      <c r="CG54" s="46"/>
      <c r="CH54" s="46"/>
      <c r="CI54" s="46"/>
      <c r="CJ54" s="46"/>
      <c r="CK54" s="46"/>
      <c r="CL54" s="46"/>
      <c r="CM54" s="46"/>
      <c r="CN54" s="46"/>
      <c r="CO54" s="46"/>
      <c r="CP54" s="46"/>
      <c r="CQ54" s="437"/>
      <c r="CR54" s="43" t="s">
        <v>700</v>
      </c>
    </row>
    <row r="55" spans="1:96" x14ac:dyDescent="0.2">
      <c r="A55" s="438" t="b">
        <f t="shared" ref="A53:A58" ca="1" si="11">B55=F55</f>
        <v>1</v>
      </c>
      <c r="B55" s="48">
        <f ca="1">F55</f>
        <v>115000000000</v>
      </c>
      <c r="C55" s="18" t="s">
        <v>616</v>
      </c>
      <c r="D55" s="18" t="s">
        <v>649</v>
      </c>
      <c r="E55" s="9">
        <v>33</v>
      </c>
      <c r="F55" s="23">
        <f t="shared" ca="1" si="10"/>
        <v>115000000000</v>
      </c>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31"/>
      <c r="BA55" s="46"/>
      <c r="BB55" s="46"/>
      <c r="BC55" s="46"/>
      <c r="BD55" s="46"/>
      <c r="BE55" s="46"/>
      <c r="BF55" s="46"/>
      <c r="BG55" s="46"/>
      <c r="BH55" s="46"/>
      <c r="BI55" s="46"/>
      <c r="BJ55" s="46">
        <f ca="1">-BJ8</f>
        <v>35000000000</v>
      </c>
      <c r="BK55" s="46"/>
      <c r="BL55" s="46"/>
      <c r="BM55" s="46"/>
      <c r="BN55" s="46"/>
      <c r="BO55" s="46"/>
      <c r="BP55" s="46"/>
      <c r="BQ55" s="46"/>
      <c r="BR55" s="46"/>
      <c r="BS55" s="46"/>
      <c r="BT55" s="46"/>
      <c r="BU55" s="46"/>
      <c r="BV55" s="46">
        <f ca="1">-BV8</f>
        <v>80000000000</v>
      </c>
      <c r="BW55" s="46"/>
      <c r="BX55" s="46"/>
      <c r="BY55" s="46"/>
      <c r="BZ55" s="46"/>
      <c r="CA55" s="46"/>
      <c r="CB55" s="31"/>
      <c r="CC55" s="46"/>
      <c r="CD55" s="46"/>
      <c r="CE55" s="46"/>
      <c r="CF55" s="46"/>
      <c r="CG55" s="46"/>
      <c r="CH55" s="46"/>
      <c r="CI55" s="46"/>
      <c r="CJ55" s="46"/>
      <c r="CK55" s="46"/>
      <c r="CL55" s="46"/>
      <c r="CM55" s="46"/>
      <c r="CN55" s="46"/>
      <c r="CO55" s="46"/>
      <c r="CP55" s="46"/>
      <c r="CQ55" s="437"/>
      <c r="CR55" s="43" t="s">
        <v>700</v>
      </c>
    </row>
    <row r="56" spans="1:96" x14ac:dyDescent="0.2">
      <c r="C56" s="18" t="s">
        <v>617</v>
      </c>
      <c r="D56" s="18" t="s">
        <v>650</v>
      </c>
      <c r="E56" s="9">
        <v>34</v>
      </c>
      <c r="F56" s="23">
        <f t="shared" si="10"/>
        <v>0</v>
      </c>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31"/>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31"/>
      <c r="CC56" s="46"/>
      <c r="CD56" s="46"/>
      <c r="CE56" s="46"/>
      <c r="CF56" s="46"/>
      <c r="CG56" s="46"/>
      <c r="CH56" s="46"/>
      <c r="CI56" s="46"/>
      <c r="CJ56" s="46"/>
      <c r="CK56" s="46"/>
      <c r="CL56" s="46"/>
      <c r="CM56" s="46"/>
      <c r="CN56" s="46"/>
      <c r="CO56" s="46"/>
      <c r="CP56" s="46"/>
      <c r="CQ56" s="437"/>
      <c r="CR56" s="43" t="s">
        <v>700</v>
      </c>
    </row>
    <row r="57" spans="1:96" x14ac:dyDescent="0.2">
      <c r="C57" s="18" t="s">
        <v>618</v>
      </c>
      <c r="D57" s="18" t="s">
        <v>651</v>
      </c>
      <c r="E57" s="9">
        <v>35</v>
      </c>
      <c r="F57" s="23">
        <f t="shared" si="10"/>
        <v>0</v>
      </c>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31"/>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31"/>
      <c r="CC57" s="46"/>
      <c r="CD57" s="46"/>
      <c r="CE57" s="46"/>
      <c r="CF57" s="46"/>
      <c r="CG57" s="46"/>
      <c r="CH57" s="46"/>
      <c r="CI57" s="46"/>
      <c r="CJ57" s="46"/>
      <c r="CK57" s="46"/>
      <c r="CL57" s="46"/>
      <c r="CM57" s="46"/>
      <c r="CN57" s="46"/>
      <c r="CO57" s="46"/>
      <c r="CP57" s="46"/>
      <c r="CQ57" s="437"/>
      <c r="CR57" s="43" t="s">
        <v>700</v>
      </c>
    </row>
    <row r="58" spans="1:96" x14ac:dyDescent="0.2">
      <c r="C58" s="18" t="s">
        <v>619</v>
      </c>
      <c r="D58" s="18" t="s">
        <v>652</v>
      </c>
      <c r="E58" s="9">
        <v>36</v>
      </c>
      <c r="F58" s="23">
        <f>ROUND(SUM(G58:CP58),0)</f>
        <v>0</v>
      </c>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31"/>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31"/>
      <c r="CC58" s="46"/>
      <c r="CD58" s="46"/>
      <c r="CE58" s="46"/>
      <c r="CF58" s="46"/>
      <c r="CG58" s="46"/>
      <c r="CH58" s="46"/>
      <c r="CI58" s="46"/>
      <c r="CJ58" s="46"/>
      <c r="CK58" s="46"/>
      <c r="CL58" s="47"/>
      <c r="CM58" s="46"/>
      <c r="CN58" s="46"/>
      <c r="CO58" s="46"/>
      <c r="CP58" s="46"/>
      <c r="CR58" s="43" t="s">
        <v>700</v>
      </c>
    </row>
    <row r="59" spans="1:96" ht="12.75" thickBot="1" x14ac:dyDescent="0.25">
      <c r="C59" s="18"/>
      <c r="D59" s="18"/>
      <c r="E59" s="9"/>
      <c r="F59" s="24"/>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31"/>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31"/>
      <c r="CC59" s="46"/>
      <c r="CD59" s="46"/>
      <c r="CE59" s="46"/>
      <c r="CF59" s="46"/>
      <c r="CG59" s="46"/>
      <c r="CH59" s="46"/>
      <c r="CI59" s="46"/>
      <c r="CJ59" s="46"/>
      <c r="CK59" s="46"/>
      <c r="CL59" s="46"/>
      <c r="CM59" s="46"/>
      <c r="CN59" s="46"/>
      <c r="CO59" s="46"/>
      <c r="CP59" s="46"/>
      <c r="CQ59" s="437"/>
      <c r="CR59" s="43" t="s">
        <v>700</v>
      </c>
    </row>
    <row r="60" spans="1:96" ht="24.75" thickBot="1" x14ac:dyDescent="0.25">
      <c r="C60" s="17" t="s">
        <v>620</v>
      </c>
      <c r="D60" s="17" t="s">
        <v>653</v>
      </c>
      <c r="E60" s="8">
        <v>40</v>
      </c>
      <c r="F60" s="55">
        <f ca="1">SUM(F53:F59)</f>
        <v>115000000000</v>
      </c>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31"/>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31"/>
      <c r="CC60" s="46"/>
      <c r="CD60" s="46"/>
      <c r="CE60" s="46"/>
      <c r="CF60" s="46"/>
      <c r="CG60" s="46"/>
      <c r="CH60" s="46"/>
      <c r="CI60" s="46"/>
      <c r="CJ60" s="46"/>
      <c r="CK60" s="46"/>
      <c r="CL60" s="46"/>
      <c r="CM60" s="46"/>
      <c r="CN60" s="46"/>
      <c r="CO60" s="46"/>
      <c r="CP60" s="46"/>
      <c r="CQ60" s="437"/>
      <c r="CR60" s="43" t="s">
        <v>700</v>
      </c>
    </row>
    <row r="61" spans="1:96" x14ac:dyDescent="0.2">
      <c r="C61" s="17"/>
      <c r="D61" s="17"/>
      <c r="E61" s="8"/>
      <c r="F61" s="22"/>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31"/>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31"/>
      <c r="CC61" s="46"/>
      <c r="CD61" s="46"/>
      <c r="CE61" s="46"/>
      <c r="CF61" s="46"/>
      <c r="CG61" s="46"/>
      <c r="CH61" s="46"/>
      <c r="CI61" s="46"/>
      <c r="CJ61" s="46"/>
      <c r="CK61" s="46"/>
      <c r="CL61" s="46"/>
      <c r="CM61" s="46"/>
      <c r="CN61" s="46"/>
      <c r="CO61" s="46"/>
      <c r="CP61" s="46"/>
      <c r="CQ61" s="437"/>
      <c r="CR61" s="43" t="s">
        <v>700</v>
      </c>
    </row>
    <row r="62" spans="1:96" ht="24" x14ac:dyDescent="0.2">
      <c r="C62" s="17" t="s">
        <v>667</v>
      </c>
      <c r="D62" s="17" t="s">
        <v>668</v>
      </c>
      <c r="E62" s="8">
        <v>50</v>
      </c>
      <c r="F62" s="56">
        <f ca="1">F36+F50+F60</f>
        <v>59735885055</v>
      </c>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31"/>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31"/>
      <c r="CC62" s="46"/>
      <c r="CD62" s="46"/>
      <c r="CE62" s="46"/>
      <c r="CF62" s="46"/>
      <c r="CG62" s="46"/>
      <c r="CH62" s="46"/>
      <c r="CI62" s="46"/>
      <c r="CJ62" s="46"/>
      <c r="CK62" s="46"/>
      <c r="CL62" s="46"/>
      <c r="CM62" s="46"/>
      <c r="CN62" s="46"/>
      <c r="CO62" s="46"/>
      <c r="CP62" s="46"/>
      <c r="CQ62" s="437"/>
      <c r="CR62" s="43" t="s">
        <v>700</v>
      </c>
    </row>
    <row r="63" spans="1:96" x14ac:dyDescent="0.2">
      <c r="C63" s="17" t="s">
        <v>621</v>
      </c>
      <c r="D63" s="28"/>
      <c r="E63" s="7"/>
      <c r="F63" s="25"/>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31"/>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31"/>
      <c r="CC63" s="46"/>
      <c r="CD63" s="46"/>
      <c r="CE63" s="46"/>
      <c r="CF63" s="46"/>
      <c r="CG63" s="46"/>
      <c r="CH63" s="46"/>
      <c r="CI63" s="46"/>
      <c r="CJ63" s="46"/>
      <c r="CK63" s="46"/>
      <c r="CL63" s="46"/>
      <c r="CM63" s="46"/>
      <c r="CN63" s="46"/>
      <c r="CO63" s="46"/>
      <c r="CP63" s="46"/>
      <c r="CQ63" s="437"/>
      <c r="CR63" s="43" t="s">
        <v>700</v>
      </c>
    </row>
    <row r="64" spans="1:96" ht="24" x14ac:dyDescent="0.2">
      <c r="C64" s="17" t="s">
        <v>670</v>
      </c>
      <c r="D64" s="17" t="s">
        <v>669</v>
      </c>
      <c r="E64" s="8">
        <v>60</v>
      </c>
      <c r="F64" s="54">
        <f ca="1">F6</f>
        <v>51229551</v>
      </c>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31"/>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31"/>
      <c r="CC64" s="46"/>
      <c r="CD64" s="46"/>
      <c r="CE64" s="46"/>
      <c r="CF64" s="46"/>
      <c r="CG64" s="46"/>
      <c r="CH64" s="46"/>
      <c r="CI64" s="46"/>
      <c r="CJ64" s="46"/>
      <c r="CK64" s="46"/>
      <c r="CL64" s="46"/>
      <c r="CM64" s="46"/>
      <c r="CN64" s="46"/>
      <c r="CO64" s="46"/>
      <c r="CP64" s="46"/>
      <c r="CQ64" s="437"/>
      <c r="CR64" s="43" t="s">
        <v>700</v>
      </c>
    </row>
    <row r="65" spans="3:96" ht="24.75" thickBot="1" x14ac:dyDescent="0.25">
      <c r="C65" s="17" t="s">
        <v>622</v>
      </c>
      <c r="D65" s="17" t="s">
        <v>654</v>
      </c>
      <c r="E65" s="8">
        <v>61</v>
      </c>
      <c r="F65" s="22">
        <f>ROUND(SUM(G65:CQ65),0)</f>
        <v>0</v>
      </c>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31"/>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31"/>
      <c r="CC65" s="46"/>
      <c r="CD65" s="46"/>
      <c r="CE65" s="46"/>
      <c r="CF65" s="46"/>
      <c r="CG65" s="46"/>
      <c r="CH65" s="46"/>
      <c r="CI65" s="46"/>
      <c r="CJ65" s="46"/>
      <c r="CK65" s="46"/>
      <c r="CL65" s="46"/>
      <c r="CM65" s="46"/>
      <c r="CN65" s="46"/>
      <c r="CO65" s="46"/>
      <c r="CP65" s="46"/>
      <c r="CQ65" s="437"/>
      <c r="CR65" s="43" t="s">
        <v>700</v>
      </c>
    </row>
    <row r="66" spans="3:96" ht="24" x14ac:dyDescent="0.2">
      <c r="C66" s="17" t="s">
        <v>672</v>
      </c>
      <c r="D66" s="17" t="s">
        <v>671</v>
      </c>
      <c r="E66" s="8">
        <v>70</v>
      </c>
      <c r="F66" s="57">
        <f ca="1">F62+F64+F65</f>
        <v>59787114606</v>
      </c>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31"/>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31"/>
      <c r="CC66" s="46"/>
      <c r="CD66" s="46"/>
      <c r="CE66" s="46"/>
      <c r="CF66" s="46"/>
      <c r="CG66" s="46"/>
      <c r="CH66" s="46"/>
      <c r="CI66" s="46"/>
      <c r="CJ66" s="46"/>
      <c r="CK66" s="46"/>
      <c r="CL66" s="46"/>
      <c r="CM66" s="46"/>
      <c r="CN66" s="46"/>
      <c r="CO66" s="46"/>
      <c r="CP66" s="46"/>
      <c r="CQ66" s="437"/>
      <c r="CR66" s="43" t="s">
        <v>700</v>
      </c>
    </row>
    <row r="67" spans="3:96" ht="12.75" thickBot="1" x14ac:dyDescent="0.25">
      <c r="F67" s="44" t="str">
        <f ca="1">IF(F66=F7,"Balanced","Unbalanced, check!")</f>
        <v>Balanced</v>
      </c>
      <c r="G67" s="30">
        <f t="shared" ref="G67:J67" si="12">SUM(G8:G66)</f>
        <v>0</v>
      </c>
      <c r="H67" s="30">
        <f t="shared" si="12"/>
        <v>0</v>
      </c>
      <c r="I67" s="30">
        <f t="shared" si="12"/>
        <v>0</v>
      </c>
      <c r="J67" s="30">
        <f t="shared" ca="1" si="12"/>
        <v>0</v>
      </c>
      <c r="K67" s="30"/>
      <c r="L67" s="30"/>
      <c r="M67" s="30"/>
      <c r="N67" s="30"/>
      <c r="O67" s="30">
        <f t="shared" ref="O67:BZ67" ca="1" si="13">SUM(O8:O66)</f>
        <v>0</v>
      </c>
      <c r="P67" s="30">
        <f t="shared" ca="1" si="13"/>
        <v>0</v>
      </c>
      <c r="Q67" s="30">
        <f t="shared" ca="1" si="13"/>
        <v>0</v>
      </c>
      <c r="R67" s="30">
        <f t="shared" ca="1" si="13"/>
        <v>0</v>
      </c>
      <c r="S67" s="30">
        <f t="shared" ca="1" si="13"/>
        <v>0</v>
      </c>
      <c r="T67" s="30">
        <f t="shared" ca="1" si="13"/>
        <v>0</v>
      </c>
      <c r="U67" s="30">
        <f t="shared" ca="1" si="13"/>
        <v>0</v>
      </c>
      <c r="V67" s="30">
        <f t="shared" ca="1" si="13"/>
        <v>0</v>
      </c>
      <c r="W67" s="30">
        <f t="shared" ca="1" si="13"/>
        <v>0</v>
      </c>
      <c r="X67" s="30">
        <f t="shared" ca="1" si="13"/>
        <v>0</v>
      </c>
      <c r="Y67" s="30">
        <f t="shared" ca="1" si="13"/>
        <v>0</v>
      </c>
      <c r="Z67" s="30">
        <f t="shared" ca="1" si="13"/>
        <v>0</v>
      </c>
      <c r="AA67" s="30">
        <f t="shared" ca="1" si="13"/>
        <v>0</v>
      </c>
      <c r="AB67" s="30">
        <f t="shared" ca="1" si="13"/>
        <v>0</v>
      </c>
      <c r="AC67" s="30">
        <f t="shared" ca="1" si="13"/>
        <v>0</v>
      </c>
      <c r="AD67" s="30">
        <f t="shared" ca="1" si="13"/>
        <v>0</v>
      </c>
      <c r="AE67" s="30">
        <f t="shared" ca="1" si="13"/>
        <v>0</v>
      </c>
      <c r="AF67" s="30">
        <f t="shared" ca="1" si="13"/>
        <v>0</v>
      </c>
      <c r="AG67" s="30">
        <f t="shared" ca="1" si="13"/>
        <v>0</v>
      </c>
      <c r="AH67" s="30">
        <f t="shared" ca="1" si="13"/>
        <v>0</v>
      </c>
      <c r="AI67" s="30">
        <f t="shared" ca="1" si="13"/>
        <v>0</v>
      </c>
      <c r="AJ67" s="30">
        <f t="shared" ca="1" si="13"/>
        <v>0</v>
      </c>
      <c r="AK67" s="30">
        <f t="shared" ca="1" si="13"/>
        <v>0</v>
      </c>
      <c r="AL67" s="30">
        <f t="shared" ca="1" si="13"/>
        <v>0</v>
      </c>
      <c r="AM67" s="30">
        <f t="shared" ca="1" si="13"/>
        <v>0</v>
      </c>
      <c r="AN67" s="30">
        <f t="shared" ca="1" si="13"/>
        <v>0</v>
      </c>
      <c r="AO67" s="30">
        <f t="shared" ca="1" si="13"/>
        <v>0</v>
      </c>
      <c r="AP67" s="30">
        <f t="shared" ca="1" si="13"/>
        <v>0</v>
      </c>
      <c r="AQ67" s="30">
        <f t="shared" ca="1" si="13"/>
        <v>0</v>
      </c>
      <c r="AR67" s="30">
        <f t="shared" ca="1" si="13"/>
        <v>0</v>
      </c>
      <c r="AS67" s="30">
        <f t="shared" ca="1" si="13"/>
        <v>0</v>
      </c>
      <c r="AT67" s="30">
        <f t="shared" ca="1" si="13"/>
        <v>0</v>
      </c>
      <c r="AU67" s="30">
        <f t="shared" ca="1" si="13"/>
        <v>0</v>
      </c>
      <c r="AV67" s="30">
        <f t="shared" ca="1" si="13"/>
        <v>0</v>
      </c>
      <c r="AW67" s="30">
        <f t="shared" ca="1" si="13"/>
        <v>0</v>
      </c>
      <c r="AX67" s="30">
        <f t="shared" ca="1" si="13"/>
        <v>0</v>
      </c>
      <c r="AY67" s="30">
        <f t="shared" ca="1" si="13"/>
        <v>0</v>
      </c>
      <c r="AZ67" s="30">
        <f t="shared" si="13"/>
        <v>0</v>
      </c>
      <c r="BA67" s="30">
        <f t="shared" ca="1" si="13"/>
        <v>0</v>
      </c>
      <c r="BB67" s="30">
        <f t="shared" ca="1" si="13"/>
        <v>0</v>
      </c>
      <c r="BC67" s="30">
        <f t="shared" ca="1" si="13"/>
        <v>0</v>
      </c>
      <c r="BD67" s="30">
        <f t="shared" si="13"/>
        <v>0</v>
      </c>
      <c r="BE67" s="30">
        <f t="shared" ca="1" si="13"/>
        <v>0</v>
      </c>
      <c r="BF67" s="30">
        <f t="shared" si="13"/>
        <v>0</v>
      </c>
      <c r="BG67" s="30">
        <f t="shared" si="13"/>
        <v>0</v>
      </c>
      <c r="BH67" s="30">
        <f t="shared" ca="1" si="13"/>
        <v>0</v>
      </c>
      <c r="BI67" s="30">
        <f t="shared" ca="1" si="13"/>
        <v>0</v>
      </c>
      <c r="BJ67" s="30">
        <f t="shared" ca="1" si="13"/>
        <v>0</v>
      </c>
      <c r="BK67" s="30">
        <f t="shared" si="13"/>
        <v>0</v>
      </c>
      <c r="BL67" s="30">
        <f t="shared" si="13"/>
        <v>0</v>
      </c>
      <c r="BM67" s="30">
        <f t="shared" si="13"/>
        <v>0</v>
      </c>
      <c r="BN67" s="30">
        <f t="shared" si="13"/>
        <v>0</v>
      </c>
      <c r="BO67" s="30">
        <f t="shared" si="13"/>
        <v>0</v>
      </c>
      <c r="BP67" s="30">
        <f t="shared" si="13"/>
        <v>0</v>
      </c>
      <c r="BQ67" s="30">
        <f t="shared" si="13"/>
        <v>0</v>
      </c>
      <c r="BR67" s="30">
        <f t="shared" si="13"/>
        <v>0</v>
      </c>
      <c r="BS67" s="30">
        <f t="shared" si="13"/>
        <v>0</v>
      </c>
      <c r="BT67" s="30">
        <f t="shared" ca="1" si="13"/>
        <v>0</v>
      </c>
      <c r="BU67" s="30">
        <f t="shared" ca="1" si="13"/>
        <v>0</v>
      </c>
      <c r="BV67" s="30">
        <f t="shared" ca="1" si="13"/>
        <v>0</v>
      </c>
      <c r="BW67" s="30">
        <f t="shared" si="13"/>
        <v>0</v>
      </c>
      <c r="BX67" s="30">
        <f t="shared" si="13"/>
        <v>0</v>
      </c>
      <c r="BY67" s="30">
        <f t="shared" si="13"/>
        <v>0</v>
      </c>
      <c r="BZ67" s="30">
        <f t="shared" si="13"/>
        <v>0</v>
      </c>
      <c r="CA67" s="30">
        <f t="shared" ref="CA67:CL67" si="14">SUM(CA8:CA66)</f>
        <v>0</v>
      </c>
      <c r="CB67" s="30"/>
      <c r="CC67" s="30">
        <f t="shared" ca="1" si="14"/>
        <v>0</v>
      </c>
      <c r="CD67" s="30">
        <f t="shared" si="14"/>
        <v>0</v>
      </c>
      <c r="CE67" s="30">
        <f t="shared" ca="1" si="14"/>
        <v>0</v>
      </c>
      <c r="CF67" s="30">
        <f t="shared" si="14"/>
        <v>0</v>
      </c>
      <c r="CG67" s="30">
        <f t="shared" si="14"/>
        <v>0</v>
      </c>
      <c r="CH67" s="30">
        <f t="shared" si="14"/>
        <v>0</v>
      </c>
      <c r="CI67" s="30">
        <f t="shared" si="14"/>
        <v>0</v>
      </c>
      <c r="CJ67" s="30">
        <f t="shared" si="14"/>
        <v>0</v>
      </c>
      <c r="CK67" s="30">
        <f t="shared" si="14"/>
        <v>0</v>
      </c>
      <c r="CL67" s="30">
        <f t="shared" ca="1" si="14"/>
        <v>0</v>
      </c>
      <c r="CM67" s="30">
        <f t="shared" ref="CM67:CQ67" si="15">SUM(CM8:CM66)</f>
        <v>0</v>
      </c>
      <c r="CN67" s="30">
        <f t="shared" si="15"/>
        <v>0</v>
      </c>
      <c r="CO67" s="30">
        <f t="shared" si="15"/>
        <v>0</v>
      </c>
      <c r="CP67" s="30">
        <f t="shared" si="15"/>
        <v>0</v>
      </c>
      <c r="CQ67" s="432">
        <f t="shared" si="15"/>
        <v>0</v>
      </c>
      <c r="CR67" s="43" t="s">
        <v>700</v>
      </c>
    </row>
  </sheetData>
  <autoFilter ref="C10:CR67"/>
  <conditionalFormatting sqref="CC12:CQ66 G12:CA66">
    <cfRule type="notContainsBlanks" dxfId="13" priority="14">
      <formula>LEN(TRIM(G12))&gt;0</formula>
    </cfRule>
  </conditionalFormatting>
  <conditionalFormatting sqref="G3:CA3 CC3:CP3">
    <cfRule type="cellIs" dxfId="12" priority="13" operator="notEqual">
      <formula>0</formula>
    </cfRule>
  </conditionalFormatting>
  <conditionalFormatting sqref="CB12:CB66">
    <cfRule type="notContainsBlanks" dxfId="11" priority="12">
      <formula>LEN(TRIM(CB12))&gt;0</formula>
    </cfRule>
  </conditionalFormatting>
  <conditionalFormatting sqref="CB3">
    <cfRule type="cellIs" dxfId="10" priority="11" operator="notEqual">
      <formula>0</formula>
    </cfRule>
  </conditionalFormatting>
  <conditionalFormatting sqref="A13">
    <cfRule type="containsText" dxfId="9" priority="9" operator="containsText" text="FALSE">
      <formula>NOT(ISERROR(SEARCH("FALSE",A13)))</formula>
    </cfRule>
    <cfRule type="containsText" dxfId="8" priority="10" operator="containsText" text="TRUE">
      <formula>NOT(ISERROR(SEARCH("TRUE",A13)))</formula>
    </cfRule>
  </conditionalFormatting>
  <conditionalFormatting sqref="A15:A16 A18:A19">
    <cfRule type="containsText" dxfId="7" priority="7" operator="containsText" text="FALSE">
      <formula>NOT(ISERROR(SEARCH("FALSE",A15)))</formula>
    </cfRule>
    <cfRule type="containsText" dxfId="6" priority="8" operator="containsText" text="TRUE">
      <formula>NOT(ISERROR(SEARCH("TRUE",A15)))</formula>
    </cfRule>
  </conditionalFormatting>
  <conditionalFormatting sqref="A39 A43 A45">
    <cfRule type="containsText" dxfId="5" priority="5" operator="containsText" text="FALSE">
      <formula>NOT(ISERROR(SEARCH("FALSE",A39)))</formula>
    </cfRule>
    <cfRule type="containsText" dxfId="4" priority="6" operator="containsText" text="TRUE">
      <formula>NOT(ISERROR(SEARCH("TRUE",A39)))</formula>
    </cfRule>
  </conditionalFormatting>
  <conditionalFormatting sqref="A55">
    <cfRule type="containsText" dxfId="3" priority="3" operator="containsText" text="FALSE">
      <formula>NOT(ISERROR(SEARCH("FALSE",A55)))</formula>
    </cfRule>
    <cfRule type="containsText" dxfId="2" priority="4" operator="containsText" text="TRUE">
      <formula>NOT(ISERROR(SEARCH("TRUE",A55)))</formula>
    </cfRule>
  </conditionalFormatting>
  <conditionalFormatting sqref="A31:A32">
    <cfRule type="containsText" dxfId="1" priority="1" operator="containsText" text="FALSE">
      <formula>NOT(ISERROR(SEARCH("FALSE",A31)))</formula>
    </cfRule>
    <cfRule type="containsText" dxfId="0" priority="2" operator="containsText" text="TRUE">
      <formula>NOT(ISERROR(SEARCH("TRUE",A31)))</formula>
    </cfRule>
  </conditionalFormatting>
  <pageMargins left="0.7" right="0.7" top="0.75" bottom="0.75" header="0.3" footer="0.3"/>
  <pageSetup paperSize="9" scale="46" fitToWidth="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THÔNG TIN CHUNG</vt:lpstr>
      <vt:lpstr>Trial balance_2020</vt:lpstr>
      <vt:lpstr>TB_Convert</vt:lpstr>
      <vt:lpstr>MLS</vt:lpstr>
      <vt:lpstr>BC_KQKD</vt:lpstr>
      <vt:lpstr>BC_TinhHinh_TaiChinh</vt:lpstr>
      <vt:lpstr>Thuyet_Minh</vt:lpstr>
      <vt:lpstr>BC_DongTien</vt:lpstr>
      <vt:lpstr>DongTien_Working 2020</vt:lpstr>
      <vt:lpstr>BC_DongTien!Print_Area</vt:lpstr>
      <vt:lpstr>BC_KQKD!Print_Area</vt:lpstr>
      <vt:lpstr>BC_TinhHinh_TaiChinh!Print_Area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 Nam Thi</dc:creator>
  <cp:lastModifiedBy>Ngo Sy Thuyen</cp:lastModifiedBy>
  <cp:lastPrinted>2016-07-18T01:50:04Z</cp:lastPrinted>
  <dcterms:created xsi:type="dcterms:W3CDTF">2015-09-18T02:29:35Z</dcterms:created>
  <dcterms:modified xsi:type="dcterms:W3CDTF">2021-03-15T03:46:23Z</dcterms:modified>
</cp:coreProperties>
</file>